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Myller\Desktop\"/>
    </mc:Choice>
  </mc:AlternateContent>
  <xr:revisionPtr revIDLastSave="0" documentId="13_ncr:1_{94B1100B-C434-4CC4-B930-609776EAB5C9}" xr6:coauthVersionLast="47" xr6:coauthVersionMax="47" xr10:uidLastSave="{00000000-0000-0000-0000-000000000000}"/>
  <bookViews>
    <workbookView xWindow="-120" yWindow="-120" windowWidth="29040" windowHeight="15840" activeTab="1" xr2:uid="{00000000-000D-0000-FFFF-FFFF00000000}"/>
  </bookViews>
  <sheets>
    <sheet name="Planilha Orçamentária" sheetId="3" r:id="rId1"/>
    <sheet name="CPS" sheetId="10" r:id="rId2"/>
    <sheet name="BDI_2622" sheetId="8"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z" localSheetId="2">#REF!</definedName>
    <definedName name="\z" localSheetId="1">#REF!</definedName>
    <definedName name="\z">#REF!</definedName>
    <definedName name="_xlnm.Print_Area" localSheetId="2">BDI_2622!$B$2:$G$46</definedName>
    <definedName name="_xlnm.Print_Area" localSheetId="1">CPS!$A$1:$F$44</definedName>
    <definedName name="_xlnm.Print_Area" localSheetId="0">'Planilha Orçamentária'!$A$1:$H$45</definedName>
    <definedName name="Aut_original" localSheetId="2">[1]PROJETO!#REF!</definedName>
    <definedName name="Aut_original" localSheetId="1">[1]PROJETO!#REF!</definedName>
    <definedName name="Aut_original">[1]PROJETO!#REF!</definedName>
    <definedName name="Aut_resumo" localSheetId="2">[2]RESUMO_AUT1!#REF!</definedName>
    <definedName name="Aut_resumo" localSheetId="1">[2]RESUMO_AUT1!#REF!</definedName>
    <definedName name="Aut_resumo">[2]RESUMO_AUT1!#REF!</definedName>
    <definedName name="Op.situação" localSheetId="2">{1;2;3}</definedName>
    <definedName name="Op.situação" localSheetId="1">{1;2;3}</definedName>
    <definedName name="Op.situação">{1;2;3}</definedName>
    <definedName name="Opçoes.atual" localSheetId="1">IF(TRIM([3]LAE!$AC1)&gt;"",MATCH([3]LAE!$AC1,[3]LAE!$AK1:$AP1,0))</definedName>
    <definedName name="Opçoes.atual">IF(TRIM([4]LAE!$AC1)&gt;"",MATCH([4]LAE!$AC1,[4]LAE!$AK1:$AP1,0))</definedName>
    <definedName name="Opçoes.destacar" localSheetId="1">SEARCH(MATCH([3]LAE!$AC1,[3]LAE!$AK1:$AP1,0),[3]LAE!$AQ1)</definedName>
    <definedName name="Opçoes.destacar">SEARCH(MATCH([4]LAE!$AC1,[4]LAE!$AK1:$AP1,0),[4]LAE!$AQ1)</definedName>
    <definedName name="Opçoes.lista" localSheetId="1">OFFSET([3]LAE!$AK1:$AP1,0,0,1,MATCH("*",[3]LAE!$AK1:$AP1,-1))</definedName>
    <definedName name="Opçoes.lista">OFFSET([4]LAE!$AK1:$AP1,0,0,1,MATCH("*",[4]LAE!$AK1:$AP1,-1))</definedName>
    <definedName name="Print" localSheetId="2">[5]QuQuant!#REF!</definedName>
    <definedName name="Print" localSheetId="1">[5]QuQuant!#REF!</definedName>
    <definedName name="Print">[5]QuQuant!#REF!</definedName>
    <definedName name="Print_Area_MI" localSheetId="2">#REF!</definedName>
    <definedName name="Print_Area_MI" localSheetId="1">#REF!</definedName>
    <definedName name="Print_Area_MI">#REF!</definedName>
    <definedName name="Serviços">[6]Solum!$A$3:$AD$2430</definedName>
    <definedName name="Serviços_1">[7]Serviços!$A$3:$AE$2694</definedName>
    <definedName name="Serviços_10">[7]Serviços!$A$3:$AE$2694</definedName>
    <definedName name="Serviços_11">[7]Serviços!$A$3:$AE$2694</definedName>
    <definedName name="Serviços_12">[7]Serviços!$A$3:$AE$2694</definedName>
    <definedName name="Serviços_2">[7]Serviços!$A$3:$AE$2694</definedName>
    <definedName name="Serviços_3">[7]Serviços!$A$3:$AE$2694</definedName>
    <definedName name="Serviços_4">[7]Serviços!$A$3:$AE$2694</definedName>
    <definedName name="Serviços_5">[7]Serviços!$A$3:$AE$2694</definedName>
    <definedName name="Serviços_6">[7]Serviços!$A$3:$AE$2694</definedName>
    <definedName name="Serviços_7">[7]Serviços!$A$3:$AE$2694</definedName>
    <definedName name="Serviços_8">[7]Serviços!$A$3:$AE$2694</definedName>
    <definedName name="Serviços_9">[7]Serviços!$A$3:$AE$2694</definedName>
  </definedNames>
  <calcPr calcId="191029"/>
</workbook>
</file>

<file path=xl/calcChain.xml><?xml version="1.0" encoding="utf-8"?>
<calcChain xmlns="http://schemas.openxmlformats.org/spreadsheetml/2006/main">
  <c r="E22" i="3" l="1"/>
  <c r="H24" i="3"/>
  <c r="C20" i="3" l="1"/>
  <c r="C15" i="3"/>
  <c r="C35" i="3" s="1"/>
  <c r="C37" i="3" s="1"/>
  <c r="H22" i="3"/>
  <c r="B22" i="3"/>
  <c r="F38" i="10"/>
  <c r="F39" i="10"/>
  <c r="F40" i="10"/>
  <c r="F41" i="10"/>
  <c r="F42" i="10"/>
  <c r="F43" i="10"/>
  <c r="F37" i="10"/>
  <c r="H19" i="3"/>
  <c r="F34" i="10"/>
  <c r="F33" i="10"/>
  <c r="F32" i="10"/>
  <c r="F31" i="10"/>
  <c r="H18" i="3"/>
  <c r="H17" i="3"/>
  <c r="F28" i="10"/>
  <c r="F27" i="10"/>
  <c r="F26" i="10"/>
  <c r="F25" i="10"/>
  <c r="F7" i="10"/>
  <c r="F8" i="10"/>
  <c r="H37" i="3"/>
  <c r="B37" i="3"/>
  <c r="F21" i="10"/>
  <c r="F22" i="10"/>
  <c r="F20" i="10"/>
  <c r="H26" i="3"/>
  <c r="F17" i="10"/>
  <c r="F16" i="10"/>
  <c r="F15" i="10"/>
  <c r="F14" i="10"/>
  <c r="F13" i="10"/>
  <c r="F12" i="10"/>
  <c r="F9" i="10"/>
  <c r="F6" i="10"/>
  <c r="F3" i="10"/>
  <c r="F4" i="10" s="1"/>
  <c r="E24" i="3" s="1"/>
  <c r="F24" i="3" s="1"/>
  <c r="G24" i="3" s="1"/>
  <c r="F20" i="3"/>
  <c r="F36" i="3"/>
  <c r="F35" i="3"/>
  <c r="F15" i="3"/>
  <c r="F13" i="3"/>
  <c r="F12" i="3"/>
  <c r="F11" i="3"/>
  <c r="F33" i="3"/>
  <c r="F32" i="3"/>
  <c r="F31" i="3"/>
  <c r="F30" i="3"/>
  <c r="F29" i="3"/>
  <c r="F28" i="3"/>
  <c r="F27" i="3"/>
  <c r="F23" i="3"/>
  <c r="G23" i="3" s="1"/>
  <c r="C11" i="3"/>
  <c r="C13" i="3" s="1"/>
  <c r="C29" i="3"/>
  <c r="C30" i="3" s="1"/>
  <c r="C31" i="3" s="1"/>
  <c r="C27" i="3"/>
  <c r="C28" i="3" s="1"/>
  <c r="G20" i="3" l="1"/>
  <c r="G15" i="3"/>
  <c r="G14" i="3" s="1"/>
  <c r="J20" i="3"/>
  <c r="J21" i="3" s="1"/>
  <c r="F44" i="10"/>
  <c r="F29" i="10"/>
  <c r="F35" i="10"/>
  <c r="G29" i="3"/>
  <c r="G31" i="3"/>
  <c r="G36" i="3"/>
  <c r="G11" i="3"/>
  <c r="G27" i="3"/>
  <c r="G28" i="3"/>
  <c r="G13" i="3"/>
  <c r="G30" i="3"/>
  <c r="G35" i="3"/>
  <c r="F23" i="10"/>
  <c r="F18" i="10"/>
  <c r="F10" i="10"/>
  <c r="C12" i="3"/>
  <c r="G12" i="3" s="1"/>
  <c r="C33" i="3"/>
  <c r="G33" i="3" s="1"/>
  <c r="C32" i="3"/>
  <c r="G32" i="3" s="1"/>
  <c r="E37" i="3" l="1"/>
  <c r="F37" i="3" s="1"/>
  <c r="G37" i="3" s="1"/>
  <c r="G34" i="3" s="1"/>
  <c r="E26" i="3"/>
  <c r="F26" i="3" s="1"/>
  <c r="G26" i="3" s="1"/>
  <c r="G25" i="3" s="1"/>
  <c r="F22" i="3"/>
  <c r="G22" i="3" s="1"/>
  <c r="G21" i="3" s="1"/>
  <c r="E18" i="3"/>
  <c r="F18" i="3" s="1"/>
  <c r="G18" i="3" s="1"/>
  <c r="E19" i="3"/>
  <c r="F19" i="3" s="1"/>
  <c r="G19" i="3" s="1"/>
  <c r="E17" i="3"/>
  <c r="F17" i="3" s="1"/>
  <c r="G17" i="3" s="1"/>
  <c r="G10" i="3"/>
  <c r="G16" i="3" l="1"/>
  <c r="G26" i="8"/>
  <c r="W26" i="8" s="1"/>
  <c r="W25" i="8"/>
  <c r="W23" i="8"/>
  <c r="W21" i="8"/>
  <c r="G21" i="8"/>
  <c r="W22" i="8" s="1"/>
  <c r="W20" i="8"/>
  <c r="W19" i="8"/>
  <c r="W18" i="8"/>
  <c r="W17" i="8"/>
  <c r="W15" i="8"/>
  <c r="E25" i="8" s="1"/>
  <c r="C7" i="8"/>
  <c r="G25" i="8" l="1"/>
  <c r="W27" i="8" s="1"/>
  <c r="G27" i="8"/>
  <c r="E19" i="8"/>
  <c r="D20" i="8"/>
  <c r="D25" i="8"/>
  <c r="F16" i="8"/>
  <c r="F17" i="8"/>
  <c r="E18" i="8"/>
  <c r="D19" i="8"/>
  <c r="F25" i="8"/>
  <c r="F18" i="8"/>
  <c r="D16" i="8"/>
  <c r="D17" i="8"/>
  <c r="F19" i="8"/>
  <c r="E20" i="8"/>
  <c r="E16" i="8"/>
  <c r="H16" i="8" s="1"/>
  <c r="E17" i="8"/>
  <c r="D18" i="8"/>
  <c r="F20" i="8"/>
  <c r="H25" i="8" l="1"/>
  <c r="H18" i="8"/>
  <c r="H17" i="8"/>
  <c r="H19" i="8"/>
  <c r="H20" i="8"/>
  <c r="G3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CEF</author>
  </authors>
  <commentList>
    <comment ref="D5" authorId="0" shapeId="0" xr:uid="{00000000-0006-0000-0300-000001000000}">
      <text>
        <r>
          <rPr>
            <b/>
            <sz val="10"/>
            <color indexed="81"/>
            <rFont val="Tahoma"/>
            <family val="2"/>
          </rPr>
          <t>SELECIONE O TIPO DE EMPREENDIMENTO</t>
        </r>
      </text>
    </comment>
  </commentList>
</comments>
</file>

<file path=xl/sharedStrings.xml><?xml version="1.0" encoding="utf-8"?>
<sst xmlns="http://schemas.openxmlformats.org/spreadsheetml/2006/main" count="310" uniqueCount="208">
  <si>
    <t>Obra:</t>
  </si>
  <si>
    <t>Prop.:</t>
  </si>
  <si>
    <t>Local:</t>
  </si>
  <si>
    <t>Item</t>
  </si>
  <si>
    <t>Descrição</t>
  </si>
  <si>
    <t>Unid.</t>
  </si>
  <si>
    <t>m²</t>
  </si>
  <si>
    <t>Quant.</t>
  </si>
  <si>
    <t>2.1</t>
  </si>
  <si>
    <t>2.2</t>
  </si>
  <si>
    <t>Preço Unit.</t>
  </si>
  <si>
    <t>Preço Total:</t>
  </si>
  <si>
    <t>SINAPI</t>
  </si>
  <si>
    <t>ITEM</t>
  </si>
  <si>
    <t>PLACA DE OBRA EM CHAPA DE ACO GALVANIZADO</t>
  </si>
  <si>
    <t>3.0</t>
  </si>
  <si>
    <t>PREENCHER SOMENTE AS CÉLULAS AZUIS</t>
  </si>
  <si>
    <t>COMPOSIÇÃO ANALÍTICA DO BDI CONFORME ACÓRDÃO 2622/2013 TCU PLENÁRIO</t>
  </si>
  <si>
    <t xml:space="preserve">CONTRATO: </t>
  </si>
  <si>
    <t xml:space="preserve">PROPONENTE: </t>
  </si>
  <si>
    <t>Com Desoneração</t>
  </si>
  <si>
    <t>TIPOLOGIA DE OBRA:</t>
  </si>
  <si>
    <t>Construção de Edifícios</t>
  </si>
  <si>
    <t>Sem Desoneração</t>
  </si>
  <si>
    <t>DESCRIÇÃO</t>
  </si>
  <si>
    <t>VALORES DE REFERÊNCIA - %</t>
  </si>
  <si>
    <t>ADOTADO - %</t>
  </si>
  <si>
    <t>ANÁLISE</t>
  </si>
  <si>
    <t>auxiliar</t>
  </si>
  <si>
    <t>MÍNIMO</t>
  </si>
  <si>
    <t>MÁXIMO</t>
  </si>
  <si>
    <t>MÉDIA</t>
  </si>
  <si>
    <t>Administração Central</t>
  </si>
  <si>
    <t>Lucro</t>
  </si>
  <si>
    <t>SEM DESONERAÇÃO</t>
  </si>
  <si>
    <t>Despesas Financeiras</t>
  </si>
  <si>
    <t>COM DESONERAÇÃO</t>
  </si>
  <si>
    <t>Seguro e Garantia</t>
  </si>
  <si>
    <t>Risco</t>
  </si>
  <si>
    <t>TRIBUTOS</t>
  </si>
  <si>
    <t>Obras simples em condições favoráveis com execução em ritmo adequado</t>
  </si>
  <si>
    <t>6.1</t>
  </si>
  <si>
    <t>ISS (**) (***)</t>
  </si>
  <si>
    <t>Conforme legislação específica</t>
  </si>
  <si>
    <t>Obras mediana em área e ou prazo em condições normais de execução</t>
  </si>
  <si>
    <t>6.2</t>
  </si>
  <si>
    <t>PIS</t>
  </si>
  <si>
    <t>Obras complexas em condições adversas com execução em ritmo acelerado, em áreas restritas</t>
  </si>
  <si>
    <t>6.3</t>
  </si>
  <si>
    <t>COFINS</t>
  </si>
  <si>
    <t>BDI SEM DESONERAÇÃO</t>
  </si>
  <si>
    <t>Fornecimento de Equipamento e Materiais</t>
  </si>
  <si>
    <t>7.1</t>
  </si>
  <si>
    <t>Desoneração</t>
  </si>
  <si>
    <t>Para o tipo de obra “Construção de Edifícios” enquadram-se: a construção e reforma de: edifícios, unidades habitacionais, escolas, hospitais, hotéis, restaurantes, armazéns e depósitos, edifícios para uso agropecuário, estações para trens e metropolitanos, estádios esportivos e quadras cobertas, instalações para embarque e desembarque de passageiros (em aeroportos, rodoviárias, portos, etc.), penitenciárias e presídios, a construção de edifícios industriais (fábricas, oficinas, galpões industriais, etc.), conforme classificação 4120-4 do CNAE 2.0. Também enquadram-se pórticos, mirantes e outros edifícios de finalidade turística.</t>
  </si>
  <si>
    <t>7.2</t>
  </si>
  <si>
    <t>BDI DA OBRA</t>
  </si>
  <si>
    <t>Construção de Rodovias e Ferrovias</t>
  </si>
  <si>
    <t>Para o tipo de obra “Construção de Rodovias e Ferrovias” enquadram-se: a construção e recuperação de: auto-estradas, rodovias e outras vias não-urbanas para passagem de veículos, vias férreas de superfície ou subterrâneas (inclusive para metropolitanos), pistas de aeroportos. Esta classe compreende também: a pavimentação de auto-estradas, rodovias e outras vias não-urbanas; construção de pontes, viadutos e túneis; a instalação de barreiras acústicas; a construção de praças de pedágio; a sinalização com pintura em rodovias e aeroportos; a instalação de placas de sinalização de tráfego e semelhantes, conforme classificação 4211-1 do CNAE 2.0. Também enquadram-se a construção, pavimentação e sinalização de vias urbanas, ruas e locais para estacionamento de veículos; a construção de praças, pista de atletismo, campos de futebol e calçadas para pedestres; elevados, passarelas e ciclovias; metrô e VLT.</t>
  </si>
  <si>
    <t>Construção de Redes de Abastecimento de Água, Coleta de Esgoto e Construções Correlatas</t>
  </si>
  <si>
    <t>Para o tipo de obra “Construção de Redes de Abastecimento de Água, Coleta de Esgoto e Construções Correlatas” enquadram-se: a construção de sistemas para o abastecimento de água tratada: reservatórios de distribuição, estações elevatórias de bombeamento, linhas principais de adução de longa e média distância e redes de distribuição de água; a construção de redes de coleta de esgoto, inclusive de interceptores, estações de tratamento de esgoto (ETE), estações de bombeamento de esgoto (EBE); a construção de galerias pluviais (obras de micro e macro drenagem). Esta classe compreende também: as obras de irrigação (canais); a manutenção de redes de abastecimento de água tratada; a manutenção de redes de coleta e de sistemas de tratamento de esgoto, conforme classificação 4222-7 do CNAE 2.0. Enquadra-se ainda a construção de estações de tratamento de água (ETA).</t>
  </si>
  <si>
    <t>Os valores de BDI acima foram calculados com emprego da fórmula prevista no acórdão 2622/2013 - TCU - Plenário:</t>
  </si>
  <si>
    <t>Construção e Manutenção de Estações e Redes de Distribuição de Energia Elétrica</t>
  </si>
  <si>
    <t>Para o tipo de obra “Construção e Manutenção de Estações e Redes de Distribuição de Energia Elétrica” enquadram-se: a construção de usinas, estações e subestações hidrelétricas, eólicas, nucleares, termoelétricas; a construção de redes de transmissão e distribuição de energia elétrica, inclusive o serviço de eletrificação rural. Esta subclasse compreende também: a construção de redes de eletrificação para ferrovias e metropolitano, conforme classificação 4221-9/02 do CNAE 2.0. Compreende ainda: a manutenção de redes de distribuição de energia elétrica, quando executada por empresa não-produtora ou distribuidora de energia elétrica, conforme classificação 4221-9/03 do CNAE 2.0. Enquadram-se também obras de iluminação pública e a construção de barragens e represas para geração de energia elétrica.</t>
  </si>
  <si>
    <t>Obras Portuárias, Marítimas e Fluviais</t>
  </si>
  <si>
    <t>Para o tipo de obra “Portuárias, Marítimas e Fluviais” enquadram-se: as obras marítimas e fluviais, tais como, construção de instalações portuárias; construção de portos e marinas; construção de eclusas e canais de navegação (vias navegáveis); enrrocamentos; obras de dragagem; aterro hidráulico; barragens, represas e diques, exceto para energia elétrica; a construção de emissários submarinos; a instalação de cabos submarinos, conforme classificação 4291-0 do CNAE 2.0. Enquadram-se também a construção de piers e outras obras com influência direta de cursos d’água.</t>
  </si>
  <si>
    <t>Fornecimento de Materiais e Equipamentos</t>
  </si>
  <si>
    <t>Enquadram-se como “Fornecimento de Materiais e Equipamentos” especificamente o fornecimento de materiais e equipamentos relevantes de natureza específica, como é o caso de:
- materiais betuminosos para obras rodoviárias;
- tubos de ferro fundido ou PVC para obras de abastecimento de água;
- elevadores e escadas rolantes para obras aeroportuárias.</t>
  </si>
  <si>
    <t>Onde:</t>
  </si>
  <si>
    <t>AC = taxa de rateio da Administração Central;</t>
  </si>
  <si>
    <t>S = taxa de seguros;</t>
  </si>
  <si>
    <t>R = taxa de risco e imprevistos;</t>
  </si>
  <si>
    <t>G = garantias exigidas em edital;</t>
  </si>
  <si>
    <t>DF = taxa das despesas financeiras;</t>
  </si>
  <si>
    <t>L = taxa de lucro bruto;</t>
  </si>
  <si>
    <t>I = taxa de tributos (PIS, CONFINS e ISS);</t>
  </si>
  <si>
    <t>2.0</t>
  </si>
  <si>
    <t>4.0</t>
  </si>
  <si>
    <t>4.1</t>
  </si>
  <si>
    <t>4.2</t>
  </si>
  <si>
    <t>5.0</t>
  </si>
  <si>
    <t>5.1</t>
  </si>
  <si>
    <t>5.2</t>
  </si>
  <si>
    <t>6.0</t>
  </si>
  <si>
    <t>COMPOSIÇÕES</t>
  </si>
  <si>
    <t>KG</t>
  </si>
  <si>
    <t>M2</t>
  </si>
  <si>
    <t>H</t>
  </si>
  <si>
    <t>SERVENTE COM ENCARGOS COMPLEMENTARES</t>
  </si>
  <si>
    <t>Coef.</t>
  </si>
  <si>
    <t>PREÇO UNITÁRIO</t>
  </si>
  <si>
    <t>VALOR TOTAL</t>
  </si>
  <si>
    <t>CHP</t>
  </si>
  <si>
    <t>TOTAL</t>
  </si>
  <si>
    <t>ADMINISTRAÇÃO LOCAL</t>
  </si>
  <si>
    <t>PAVIMENTAÇÃO</t>
  </si>
  <si>
    <t>PLACA DE SINALIZACAO EM CHAPA DE ACO NUM 16 COM PINTURA REFLETIVA</t>
  </si>
  <si>
    <t>PINTURA DE FAIXA DE PEDESTRE OU ZEBRADA COM TINTA ACRÍLICA, E  = 30 CM, APLICAÇÃO MANUAL. AF_05/2021</t>
  </si>
  <si>
    <t>m³</t>
  </si>
  <si>
    <t>UNIT C/ BDI</t>
  </si>
  <si>
    <t xml:space="preserve"> 00034723 </t>
  </si>
  <si>
    <t xml:space="preserve"> 102501 </t>
  </si>
  <si>
    <t xml:space="preserve"> 00013521 </t>
  </si>
  <si>
    <t>PAVIMENTAÇÃO EM BLOQUETES</t>
  </si>
  <si>
    <t>SERVIÇOS PRELIMINARES</t>
  </si>
  <si>
    <t>CUSTO DE MOBILIZAÇÃO E DESMOBILIZAÇÃO DOS ESQUIPAMENTOS</t>
  </si>
  <si>
    <t>TERRAPLENAGEM</t>
  </si>
  <si>
    <t>SERVICOS TOPOGRAFICOS PARA PAVIMENTACAO, INCLUSIVE NOTA DE SERVICOS, ACOMPANHAMENTO E GREIDE</t>
  </si>
  <si>
    <t>ESCAVAÇÃO HORIZONTAL EM SOLO DE 1A CATEGORIA COM TRATOR DE ESTEIRAS (100HP/LÂMINA: 2,19M3). AF_07/2020</t>
  </si>
  <si>
    <t>TRANSPORTE COM CAMINHÃO BASCULANTE DE 10 M³, EM VIA URBANA EM REVESTIMENTO PRIMÁRIO (UNIDADE: M3XKM). AF_07/2020</t>
  </si>
  <si>
    <t>LIMPEZA MECANIZADA DE CAMADA VEGETAL, VEGETAÇÃO E PEQUENAS ÁRVORES (DIÂMETRO DE TRONCO MENOR QUE 0,20 M), COM TRATOR DE ESTEIRAS.AF_05/2018</t>
  </si>
  <si>
    <t>REGULARIZAÇÃO E COMPACTAÇÃO DE SUBLEITO DE SOLO  PREDOMINANTEMENTE ARGILOSO. AF_11/2019</t>
  </si>
  <si>
    <t>TRANSPORTE COM CAMINHÃO BASCULANTE DE 10 M³, EM VIA URBANA PAVIMENTADA, DMT ATÉ 30 KM (UNIDADE: M3XKM). AF_07/2020</t>
  </si>
  <si>
    <t>EXECUÇÃO E COMPACTAÇÃO DE BASE E OU SUB BASE PARA PAVIMENTAÇÃO DE SOLOS DE COMPORTAMENTO LATERÍTICO (ARENOSO) - EXCLUSIVE SOLO, ESCAVAÇÃO, CARGA E TRANSPORTE. AF_11/2019</t>
  </si>
  <si>
    <t>EXECUÇÃO DE PAVIMENTO EM PISO INTERTRAVADO, COM BLOCO SEXTAVADO DE 25 X 25 CM, ESPESSURA 8 CM. AF_12/2015</t>
  </si>
  <si>
    <t>DRENAGEM</t>
  </si>
  <si>
    <t>ASSENTAMENTO DE GUIA (MEIO-FIO) EM TRECHO RETO, CONFECCIONADA EM CONCRETO PRÉ-FABRICADO, DIMENSÕES 100X15X13X30 CM (COMPRIMENTO X BASE INFERIOR X BASE SUPERIOR X ALTURA), PARA VIAS URBANAS (USO VIÁRIO). AF_06/2016</t>
  </si>
  <si>
    <t>ACESSIBILIDADE</t>
  </si>
  <si>
    <t>EXECUÇÃO DE PASSEIO (CALÇADA) OU PISO DE CONCRETO COM CONCRETO MOLDADO IN LOCO, FEITO EM OBRA, ACABAMENTO CONVENCIONAL, NÃO ARMADO. AF_07/2016</t>
  </si>
  <si>
    <t>PISO EM LADRILHO HIDRÁULICO APLICADO EM AMBIENTES EXTERNOS. AF_05/2020</t>
  </si>
  <si>
    <t>PREPARO DE TERRENO PARA A EXECUÇÃO DE CALÇADA</t>
  </si>
  <si>
    <t>SINALIZAÇÃO VERTICAL E HORIZONTAL</t>
  </si>
  <si>
    <t>PLACA DE REGULAMENTAÇÃO R 1</t>
  </si>
  <si>
    <t>PLACA DE REGULAMENTAÇÃO R-19</t>
  </si>
  <si>
    <t>PLACA DE IDENTIFICAÇÃO DE RUA</t>
  </si>
  <si>
    <t>M²</t>
  </si>
  <si>
    <t>M3XKM</t>
  </si>
  <si>
    <t>M</t>
  </si>
  <si>
    <t xml:space="preserve"> 101114 </t>
  </si>
  <si>
    <t xml:space="preserve"> 93589 </t>
  </si>
  <si>
    <t xml:space="preserve"> 98525 </t>
  </si>
  <si>
    <t xml:space="preserve"> 100576 </t>
  </si>
  <si>
    <t xml:space="preserve"> 95875 </t>
  </si>
  <si>
    <t xml:space="preserve"> 96388 </t>
  </si>
  <si>
    <t xml:space="preserve"> 92394 </t>
  </si>
  <si>
    <t xml:space="preserve"> 93590 </t>
  </si>
  <si>
    <t xml:space="preserve"> 94273 </t>
  </si>
  <si>
    <t xml:space="preserve"> 94990 </t>
  </si>
  <si>
    <t xml:space="preserve"> 101091 </t>
  </si>
  <si>
    <t>2.2.1</t>
  </si>
  <si>
    <t>2.2.2</t>
  </si>
  <si>
    <t>2.7.1</t>
  </si>
  <si>
    <t>2.7.2</t>
  </si>
  <si>
    <t>2.7.3</t>
  </si>
  <si>
    <t>2.7.4</t>
  </si>
  <si>
    <t xml:space="preserve">UN  </t>
  </si>
  <si>
    <t>TRANSPORTE COM CAMINHÃO BASCULANTE DE 10 M³, EM VIA URBANA EM REVESTIMENTO PRIMÁRIO - TRANSPORTE DOS BLOCOS</t>
  </si>
  <si>
    <t>TXKM</t>
  </si>
  <si>
    <t>TRANSPORTE COM CAMINHÃO BASCULANTE DE 10 M³, EM VIA URBANA EM REVESTIMENTO PRIMÁRIO - COLCHÃO DE AREIA</t>
  </si>
  <si>
    <t xml:space="preserve"> 88316 </t>
  </si>
  <si>
    <t>CP 02</t>
  </si>
  <si>
    <t>ENGENHEIRO CIVIL DE OBRA JUNIOR COM ENCARGOS COMPLEMENTARES</t>
  </si>
  <si>
    <t>MES</t>
  </si>
  <si>
    <t xml:space="preserve">UN </t>
  </si>
  <si>
    <t>CP 03</t>
  </si>
  <si>
    <t>UNID.</t>
  </si>
  <si>
    <t>CP 04</t>
  </si>
  <si>
    <t>AUXILIAR DE TOPÓGRAFO COM ENCARGOS COMPLEMENTARES</t>
  </si>
  <si>
    <t>NIVELADOR COM ENCARGOS COMPLEMENTARES</t>
  </si>
  <si>
    <t>DESENHISTA DETALHISTA COM ENCARGOS COMPLEMENTARES</t>
  </si>
  <si>
    <t>CAMINHONETE CABINE SIMPLES COM MOTOR 1.6 FLEX, CÂMBIO MANUAL, POTÊNCIA 101/104 CV, 2 PORTAS - CHP DIURNO. AF_11/2015</t>
  </si>
  <si>
    <t>SARRAFO *2,5 X 10* CM EM PINUS, MISTA OU EQUIVALENTE DA REGIAO - BRUTA</t>
  </si>
  <si>
    <t xml:space="preserve"> 88253 </t>
  </si>
  <si>
    <t xml:space="preserve"> 88288 </t>
  </si>
  <si>
    <t xml:space="preserve"> 88597 </t>
  </si>
  <si>
    <t xml:space="preserve"> 92145 </t>
  </si>
  <si>
    <t xml:space="preserve"> 00004509 </t>
  </si>
  <si>
    <t>CP 05</t>
  </si>
  <si>
    <t>COMPACTAÇÃO MECÂNICA DE SOLO PARA EXECUÇÃO DE RADIER, PISO DE CONCRETO OU LAJE SOBRE SOLO, COM COMPACTADOR DE SOLOS TIPO PLACA VIBRATÓRIA. AF_09/2021</t>
  </si>
  <si>
    <t>ESPALHAMENTO DE MATERIAL COM TRATOR DE ESTEIRAS. AF_11/2019</t>
  </si>
  <si>
    <t xml:space="preserve"> 97084 </t>
  </si>
  <si>
    <t xml:space="preserve"> 100574 </t>
  </si>
  <si>
    <t>ESCAVAÇÃO MANUAL DE VALA COM PROFUNDIDADE MENOR OU IGUAL A 1,30 M. AF_02/2021</t>
  </si>
  <si>
    <t>CONCRETO MAGRO PARA LASTRO, TRAÇO 1:4,5:4,5 (EM MASSA SECA DE CIMENTO/ AREIA MÉDIA/ BRITA 1) - PREPARO MECÂNICO COM BETONEIRA 400 L. AF_05/2021</t>
  </si>
  <si>
    <t>TUBO ACO GALVANIZADO COM COSTURA, CLASSE LEVE, DN 50 MM ( 2"),  E = 3,00 MM,  *4,40* KG/M (NBR 5580)</t>
  </si>
  <si>
    <t xml:space="preserve"> 93358 </t>
  </si>
  <si>
    <t xml:space="preserve"> 94962 </t>
  </si>
  <si>
    <t xml:space="preserve"> 00021013 </t>
  </si>
  <si>
    <t>CP 06</t>
  </si>
  <si>
    <t>2.2.3</t>
  </si>
  <si>
    <t>PLACA DE REGULAMENTAÇÃO R 19</t>
  </si>
  <si>
    <t>CP 07</t>
  </si>
  <si>
    <t>PLACA DE ACO ESMALTADA PARA IDENTIFICACAO DE RUA, *45 CM X 20* CM</t>
  </si>
  <si>
    <t>5.3</t>
  </si>
  <si>
    <t>5.4</t>
  </si>
  <si>
    <t>5.5</t>
  </si>
  <si>
    <t>5.6</t>
  </si>
  <si>
    <t>5.7</t>
  </si>
  <si>
    <t>5.8</t>
  </si>
  <si>
    <t>CARPINTEIRO DE FORMAS COM ENCARGOS COMPLEMENTARES</t>
  </si>
  <si>
    <t>SARRAFO NAO APARELHADO *2,5 X 7* CM, EM MACARANDUBA, ANGELIM OU EQUIVALENTE DA REGIAO -  BRUTA</t>
  </si>
  <si>
    <t>PONTALETE *7,5 X 7,5* CM EM PINUS, MISTA OU EQUIVALENTE DA REGIAO - BRUTA</t>
  </si>
  <si>
    <t>PLACA DE OBRA (PARA CONSTRUCAO CIVIL) EM CHAPA GALVANIZADA *N. 22*, ADESIVADA, DE *2,4 X 1,2* M (SEM POSTES PARA FIXACAO)</t>
  </si>
  <si>
    <t>PREGO DE ACO POLIDO COM CABECA 18 X 30 (2 3/4 X 10)</t>
  </si>
  <si>
    <t xml:space="preserve"> 88262 </t>
  </si>
  <si>
    <t xml:space="preserve"> 00004417 </t>
  </si>
  <si>
    <t xml:space="preserve"> 00004491 </t>
  </si>
  <si>
    <t xml:space="preserve"> 00004813 </t>
  </si>
  <si>
    <t xml:space="preserve"> 00005075 </t>
  </si>
  <si>
    <t>CP 08</t>
  </si>
  <si>
    <t>B.D.I:</t>
  </si>
  <si>
    <t>PLANILHA ORÇAMENTÁRIA</t>
  </si>
  <si>
    <t>4.3</t>
  </si>
  <si>
    <t>ADMINISTRAÇÃO LOCAL DE OBRA</t>
  </si>
  <si>
    <t>MÊS</t>
  </si>
  <si>
    <t xml:space="preserve">Pavimentação em Bloquetes </t>
  </si>
  <si>
    <t>Sitio Novo do Tocantins</t>
  </si>
  <si>
    <t>Prefeitura Municipal de Sitio Novo do Tocantins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</si>
</sst>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_(* #,##0_);_(* \(#,##0\);_(* &quot;-&quot;_);_(@_)"/>
    <numFmt numFmtId="167" formatCode="_(&quot;Cr$&quot;* #,##0_);_(&quot;Cr$&quot;* \(#,##0\);_(&quot;Cr$&quot;* &quot;-&quot;_);_(@_)"/>
    <numFmt numFmtId="168" formatCode="#."/>
    <numFmt numFmtId="169" formatCode="_([$€]* #,##0.00_);_([$€]* \(#,##0.00\);_([$€]* &quot;-&quot;??_);_(@_)"/>
    <numFmt numFmtId="170" formatCode="_(&quot;R$&quot;* #,##0.00_);_(&quot;R$&quot;* \(#,##0.00\);_(&quot;R$&quot;* &quot;-&quot;??_);_(@_)"/>
    <numFmt numFmtId="171" formatCode="[$R$ -416]\ #,##0"/>
    <numFmt numFmtId="172" formatCode="#,##0.0000"/>
    <numFmt numFmtId="173" formatCode="0.000"/>
  </numFmts>
  <fonts count="59">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1"/>
      <color rgb="FF000000"/>
      <name val="Calibri"/>
      <family val="2"/>
    </font>
    <font>
      <sz val="11"/>
      <color theme="1"/>
      <name val="Arial"/>
      <family val="2"/>
    </font>
    <font>
      <b/>
      <sz val="11"/>
      <color theme="1"/>
      <name val="Arial"/>
      <family val="2"/>
    </font>
    <font>
      <sz val="10"/>
      <name val="Arial"/>
    </font>
    <font>
      <sz val="9"/>
      <name val="Times New Roman"/>
      <family val="1"/>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10"/>
      <name val="Calibri"/>
      <family val="2"/>
    </font>
    <font>
      <b/>
      <sz val="11"/>
      <color indexed="9"/>
      <name val="Calibri"/>
      <family val="2"/>
    </font>
    <font>
      <sz val="11"/>
      <color indexed="10"/>
      <name val="Calibri"/>
      <family val="2"/>
    </font>
    <font>
      <sz val="1"/>
      <color indexed="16"/>
      <name val="Courier"/>
      <family val="3"/>
    </font>
    <font>
      <sz val="11"/>
      <color indexed="62"/>
      <name val="Calibri"/>
      <family val="2"/>
    </font>
    <font>
      <sz val="10"/>
      <name val="Helv"/>
      <charset val="204"/>
    </font>
    <font>
      <sz val="10"/>
      <name val="Times New Roman"/>
      <family val="1"/>
    </font>
    <font>
      <i/>
      <sz val="11"/>
      <color indexed="23"/>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sz val="11"/>
      <color indexed="52"/>
      <name val="Calibri"/>
      <family val="2"/>
    </font>
    <font>
      <sz val="11"/>
      <color indexed="19"/>
      <name val="Calibri"/>
      <family val="2"/>
    </font>
    <font>
      <sz val="11"/>
      <color indexed="60"/>
      <name val="Calibri"/>
      <family val="2"/>
    </font>
    <font>
      <b/>
      <sz val="11"/>
      <color indexed="63"/>
      <name val="Calibri"/>
      <family val="2"/>
    </font>
    <font>
      <sz val="1"/>
      <color indexed="18"/>
      <name val="Courier"/>
      <family val="3"/>
    </font>
    <font>
      <b/>
      <sz val="18"/>
      <color indexed="56"/>
      <name val="Cambria"/>
      <family val="2"/>
    </font>
    <font>
      <b/>
      <sz val="18"/>
      <color indexed="62"/>
      <name val="Cambria"/>
      <family val="2"/>
    </font>
    <font>
      <b/>
      <sz val="1"/>
      <color indexed="16"/>
      <name val="Courier"/>
      <family val="3"/>
    </font>
    <font>
      <b/>
      <sz val="11"/>
      <color indexed="8"/>
      <name val="Calibri"/>
      <family val="2"/>
    </font>
    <font>
      <b/>
      <sz val="8"/>
      <color indexed="8"/>
      <name val="Arial"/>
      <family val="2"/>
    </font>
    <font>
      <b/>
      <sz val="18"/>
      <color theme="1"/>
      <name val="Calibri"/>
      <family val="2"/>
      <scheme val="minor"/>
    </font>
    <font>
      <b/>
      <sz val="12"/>
      <color theme="1"/>
      <name val="Arial"/>
      <family val="2"/>
    </font>
    <font>
      <sz val="12"/>
      <color theme="1"/>
      <name val="Arial"/>
      <family val="2"/>
    </font>
    <font>
      <b/>
      <sz val="24"/>
      <color theme="1"/>
      <name val="Arial"/>
      <family val="2"/>
    </font>
    <font>
      <sz val="12"/>
      <color indexed="10"/>
      <name val="Times New Roman"/>
      <family val="1"/>
    </font>
    <font>
      <sz val="10"/>
      <color indexed="10"/>
      <name val="Times New Roman"/>
      <family val="1"/>
    </font>
    <font>
      <b/>
      <sz val="12"/>
      <name val="Times New Roman"/>
      <family val="1"/>
    </font>
    <font>
      <b/>
      <sz val="6"/>
      <name val="Times New Roman"/>
      <family val="1"/>
    </font>
    <font>
      <sz val="12"/>
      <name val="Times New Roman"/>
      <family val="1"/>
    </font>
    <font>
      <sz val="6"/>
      <name val="Times New Roman"/>
      <family val="1"/>
    </font>
    <font>
      <sz val="14"/>
      <name val="Times New Roman"/>
      <family val="1"/>
    </font>
    <font>
      <b/>
      <sz val="8"/>
      <name val="Times New Roman"/>
      <family val="1"/>
    </font>
    <font>
      <sz val="9"/>
      <name val="Arial"/>
      <family val="2"/>
    </font>
    <font>
      <sz val="11"/>
      <name val="Times New Roman"/>
      <family val="1"/>
    </font>
    <font>
      <b/>
      <sz val="11"/>
      <name val="Times New Roman"/>
      <family val="1"/>
    </font>
    <font>
      <b/>
      <sz val="15"/>
      <name val="Arial Narrow"/>
      <family val="2"/>
    </font>
    <font>
      <i/>
      <sz val="11"/>
      <name val="Times New Roman"/>
      <family val="1"/>
    </font>
    <font>
      <b/>
      <sz val="10"/>
      <color indexed="81"/>
      <name val="Tahoma"/>
      <family val="2"/>
    </font>
    <font>
      <sz val="8"/>
      <name val="Calibri"/>
      <family val="2"/>
      <scheme val="minor"/>
    </font>
    <font>
      <b/>
      <sz val="12"/>
      <color indexed="8"/>
      <name val="Arial"/>
      <family val="2"/>
    </font>
    <font>
      <sz val="12"/>
      <color indexed="8"/>
      <name val="Arial"/>
      <family val="2"/>
    </font>
  </fonts>
  <fills count="30">
    <fill>
      <patternFill patternType="none"/>
    </fill>
    <fill>
      <patternFill patternType="gray125"/>
    </fill>
    <fill>
      <patternFill patternType="solid">
        <fgColor indexed="9"/>
        <bgColor indexed="8"/>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41"/>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522">
    <xf numFmtId="0" fontId="0" fillId="0" borderId="0"/>
    <xf numFmtId="44" fontId="2" fillId="0" borderId="0" applyFont="0" applyFill="0" applyBorder="0" applyAlignment="0" applyProtection="0"/>
    <xf numFmtId="0" fontId="3" fillId="0" borderId="0"/>
    <xf numFmtId="0"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9" fontId="3" fillId="0" borderId="0" applyFont="0" applyFill="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4"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14"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1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5" borderId="0" applyNumberFormat="0" applyBorder="0" applyAlignment="0" applyProtection="0"/>
    <xf numFmtId="0" fontId="10" fillId="18" borderId="0" applyNumberFormat="0" applyBorder="0" applyAlignment="0" applyProtection="0"/>
    <xf numFmtId="0" fontId="10" fillId="11" borderId="0" applyNumberFormat="0" applyBorder="0" applyAlignment="0" applyProtection="0"/>
    <xf numFmtId="0" fontId="10" fillId="19" borderId="0" applyNumberFormat="0" applyBorder="0" applyAlignment="0" applyProtection="0"/>
    <xf numFmtId="0" fontId="10" fillId="6" borderId="0" applyNumberFormat="0" applyBorder="0" applyAlignment="0" applyProtection="0"/>
    <xf numFmtId="0" fontId="10" fillId="11" borderId="0" applyNumberFormat="0" applyBorder="0" applyAlignment="0" applyProtection="0"/>
    <xf numFmtId="0" fontId="10" fillId="16" borderId="0" applyNumberFormat="0" applyBorder="0" applyAlignment="0" applyProtection="0"/>
    <xf numFmtId="0" fontId="10" fillId="14"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16" borderId="0" applyNumberFormat="0" applyBorder="0" applyAlignment="0" applyProtection="0"/>
    <xf numFmtId="0" fontId="10" fillId="2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6" borderId="0" applyNumberFormat="0" applyBorder="0" applyAlignment="0" applyProtection="0"/>
    <xf numFmtId="0" fontId="10" fillId="22" borderId="0" applyNumberFormat="0" applyBorder="0" applyAlignment="0" applyProtection="0"/>
    <xf numFmtId="0" fontId="11" fillId="5" borderId="0" applyNumberFormat="0" applyBorder="0" applyAlignment="0" applyProtection="0"/>
    <xf numFmtId="0" fontId="11" fillId="9" borderId="0" applyNumberFormat="0" applyBorder="0" applyAlignment="0" applyProtection="0"/>
    <xf numFmtId="0" fontId="12" fillId="11" borderId="0" applyNumberFormat="0" applyBorder="0" applyAlignment="0" applyProtection="0"/>
    <xf numFmtId="0" fontId="13" fillId="25" borderId="23" applyNumberFormat="0" applyAlignment="0" applyProtection="0"/>
    <xf numFmtId="0" fontId="14" fillId="26" borderId="23" applyNumberFormat="0" applyAlignment="0" applyProtection="0"/>
    <xf numFmtId="0" fontId="14" fillId="26" borderId="23" applyNumberFormat="0" applyAlignment="0" applyProtection="0"/>
    <xf numFmtId="0" fontId="15" fillId="27" borderId="24" applyNumberFormat="0" applyAlignment="0" applyProtection="0"/>
    <xf numFmtId="0" fontId="16" fillId="0" borderId="25" applyNumberFormat="0" applyFill="0" applyAlignment="0" applyProtection="0"/>
    <xf numFmtId="0" fontId="15" fillId="27" borderId="24" applyNumberFormat="0" applyAlignment="0" applyProtection="0"/>
    <xf numFmtId="166" fontId="3" fillId="0" borderId="0" applyFont="0" applyFill="0" applyBorder="0" applyAlignment="0" applyProtection="0"/>
    <xf numFmtId="167" fontId="3" fillId="0" borderId="0" applyFont="0" applyFill="0" applyBorder="0" applyAlignment="0" applyProtection="0"/>
    <xf numFmtId="168" fontId="17" fillId="0" borderId="0">
      <protection locked="0"/>
    </xf>
    <xf numFmtId="0" fontId="10" fillId="21" borderId="0" applyNumberFormat="0" applyBorder="0" applyAlignment="0" applyProtection="0"/>
    <xf numFmtId="0" fontId="10" fillId="16" borderId="0" applyNumberFormat="0" applyBorder="0" applyAlignment="0" applyProtection="0"/>
    <xf numFmtId="0" fontId="10" fillId="14"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8" fillId="13" borderId="23" applyNumberFormat="0" applyAlignment="0" applyProtection="0"/>
    <xf numFmtId="0" fontId="19" fillId="0" borderId="0"/>
    <xf numFmtId="169" fontId="20" fillId="0" borderId="0" applyFont="0" applyFill="0" applyBorder="0" applyAlignment="0" applyProtection="0"/>
    <xf numFmtId="0" fontId="3" fillId="0" borderId="0"/>
    <xf numFmtId="0" fontId="21" fillId="0" borderId="0" applyNumberFormat="0" applyFill="0" applyBorder="0" applyAlignment="0" applyProtection="0"/>
    <xf numFmtId="2" fontId="3" fillId="0" borderId="0"/>
    <xf numFmtId="168" fontId="17" fillId="0" borderId="0">
      <protection locked="0"/>
    </xf>
    <xf numFmtId="0" fontId="12" fillId="7" borderId="0" applyNumberFormat="0" applyBorder="0" applyAlignment="0" applyProtection="0"/>
    <xf numFmtId="0" fontId="12" fillId="11" borderId="0" applyNumberFormat="0" applyBorder="0" applyAlignment="0" applyProtection="0"/>
    <xf numFmtId="0" fontId="22" fillId="0" borderId="26" applyNumberFormat="0" applyFill="0" applyAlignment="0" applyProtection="0"/>
    <xf numFmtId="0" fontId="23" fillId="0" borderId="27" applyNumberFormat="0" applyFill="0" applyAlignment="0" applyProtection="0"/>
    <xf numFmtId="0" fontId="24" fillId="0" borderId="28" applyNumberFormat="0" applyFill="0" applyAlignment="0" applyProtection="0"/>
    <xf numFmtId="0" fontId="25" fillId="0" borderId="29" applyNumberFormat="0" applyFill="0" applyAlignment="0" applyProtection="0"/>
    <xf numFmtId="0" fontId="26" fillId="0" borderId="30" applyNumberFormat="0" applyFill="0" applyAlignment="0" applyProtection="0"/>
    <xf numFmtId="0" fontId="27" fillId="0" borderId="31"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1" fillId="9" borderId="0" applyNumberFormat="0" applyBorder="0" applyAlignment="0" applyProtection="0"/>
    <xf numFmtId="0" fontId="18" fillId="10" borderId="23" applyNumberFormat="0" applyAlignment="0" applyProtection="0"/>
    <xf numFmtId="0" fontId="18" fillId="13" borderId="23" applyNumberFormat="0" applyAlignment="0" applyProtection="0"/>
    <xf numFmtId="0" fontId="28" fillId="0" borderId="32" applyNumberFormat="0" applyFill="0" applyAlignment="0" applyProtection="0"/>
    <xf numFmtId="0" fontId="16" fillId="0" borderId="25" applyNumberFormat="0" applyFill="0" applyAlignment="0" applyProtection="0"/>
    <xf numFmtId="170"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4" fontId="2" fillId="0" borderId="0" applyFont="0" applyFill="0" applyBorder="0" applyAlignment="0" applyProtection="0"/>
    <xf numFmtId="171" fontId="3" fillId="0" borderId="0"/>
    <xf numFmtId="0" fontId="29" fillId="13" borderId="0" applyNumberFormat="0" applyBorder="0" applyAlignment="0" applyProtection="0"/>
    <xf numFmtId="0" fontId="30" fillId="13" borderId="0" applyNumberFormat="0" applyBorder="0" applyAlignment="0" applyProtection="0"/>
    <xf numFmtId="0" fontId="29"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 borderId="33" applyNumberFormat="0" applyFont="0" applyAlignment="0" applyProtection="0"/>
    <xf numFmtId="0" fontId="3" fillId="8" borderId="33" applyNumberFormat="0" applyFont="0" applyAlignment="0" applyProtection="0"/>
    <xf numFmtId="0" fontId="9" fillId="8" borderId="33" applyNumberFormat="0" applyFont="0" applyAlignment="0" applyProtection="0"/>
    <xf numFmtId="0" fontId="3" fillId="8" borderId="33" applyNumberFormat="0" applyFont="0" applyAlignment="0" applyProtection="0"/>
    <xf numFmtId="0" fontId="9" fillId="8" borderId="33" applyNumberFormat="0" applyFont="0" applyAlignment="0" applyProtection="0"/>
    <xf numFmtId="0" fontId="9" fillId="8" borderId="33" applyNumberFormat="0" applyFont="0" applyAlignment="0" applyProtection="0"/>
    <xf numFmtId="0" fontId="31" fillId="25" borderId="34" applyNumberFormat="0" applyAlignment="0" applyProtection="0"/>
    <xf numFmtId="0" fontId="31" fillId="26" borderId="34" applyNumberFormat="0" applyAlignment="0" applyProtection="0"/>
    <xf numFmtId="168" fontId="17" fillId="0" borderId="0">
      <protection locked="0"/>
    </xf>
    <xf numFmtId="168" fontId="17" fillId="0" borderId="0">
      <protection locked="0"/>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1" fillId="26" borderId="34" applyNumberFormat="0" applyAlignment="0" applyProtection="0"/>
    <xf numFmtId="168" fontId="32" fillId="0" borderId="0">
      <protection locked="0"/>
    </xf>
    <xf numFmtId="4" fontId="3" fillId="0" borderId="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64" fontId="3" fillId="0" borderId="0" applyFon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23" fillId="0" borderId="27" applyNumberFormat="0" applyFill="0" applyAlignment="0" applyProtection="0"/>
    <xf numFmtId="0" fontId="25" fillId="0" borderId="29" applyNumberFormat="0" applyFill="0" applyAlignment="0" applyProtection="0"/>
    <xf numFmtId="0" fontId="27" fillId="0" borderId="31"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168" fontId="35" fillId="0" borderId="0">
      <protection locked="0"/>
    </xf>
    <xf numFmtId="168" fontId="35" fillId="0" borderId="0">
      <protection locked="0"/>
    </xf>
    <xf numFmtId="0" fontId="36" fillId="0" borderId="35" applyNumberFormat="0" applyFill="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 fontId="3" fillId="0" borderId="0"/>
    <xf numFmtId="0" fontId="16" fillId="0" borderId="0" applyNumberFormat="0" applyFill="0" applyBorder="0" applyAlignment="0" applyProtection="0"/>
    <xf numFmtId="9" fontId="2" fillId="0" borderId="0" applyFont="0" applyFill="0" applyBorder="0" applyAlignment="0" applyProtection="0"/>
  </cellStyleXfs>
  <cellXfs count="205">
    <xf numFmtId="0" fontId="0" fillId="0" borderId="0" xfId="0"/>
    <xf numFmtId="0" fontId="0" fillId="0" borderId="0" xfId="0" applyAlignment="1">
      <alignment horizontal="left"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44" fontId="0" fillId="0" borderId="0" xfId="1" applyFont="1" applyAlignment="1">
      <alignment horizontal="center" vertical="center" wrapText="1"/>
    </xf>
    <xf numFmtId="44" fontId="0" fillId="0" borderId="0" xfId="0" applyNumberFormat="1"/>
    <xf numFmtId="0" fontId="1" fillId="0" borderId="0" xfId="0" applyFont="1" applyAlignment="1">
      <alignment horizontal="center" vertical="center"/>
    </xf>
    <xf numFmtId="44" fontId="5" fillId="0" borderId="0" xfId="1" applyFont="1" applyBorder="1" applyAlignment="1">
      <alignment horizontal="left"/>
    </xf>
    <xf numFmtId="0" fontId="6" fillId="0" borderId="0" xfId="0" applyFont="1" applyAlignment="1">
      <alignment horizontal="center" vertical="center"/>
    </xf>
    <xf numFmtId="0" fontId="6" fillId="0" borderId="1" xfId="0" applyFont="1" applyBorder="1" applyAlignment="1">
      <alignment horizontal="left" wrapText="1"/>
    </xf>
    <xf numFmtId="44" fontId="5" fillId="0" borderId="0" xfId="1" applyFont="1" applyBorder="1" applyAlignment="1">
      <alignment horizontal="center"/>
    </xf>
    <xf numFmtId="0" fontId="5" fillId="0" borderId="0" xfId="0" applyFont="1" applyAlignment="1">
      <alignment wrapText="1"/>
    </xf>
    <xf numFmtId="0" fontId="5" fillId="0" borderId="0" xfId="0" applyFont="1" applyAlignment="1">
      <alignment vertical="center" wrapText="1"/>
    </xf>
    <xf numFmtId="0" fontId="5" fillId="0" borderId="0" xfId="0" applyFont="1" applyAlignment="1">
      <alignment horizontal="center" vertical="center" wrapText="1"/>
    </xf>
    <xf numFmtId="44" fontId="5" fillId="0" borderId="0" xfId="1" applyFont="1" applyAlignment="1">
      <alignment horizontal="center" vertical="center" wrapText="1"/>
    </xf>
    <xf numFmtId="0" fontId="37" fillId="2" borderId="0" xfId="4" applyFont="1" applyFill="1" applyAlignment="1">
      <alignment horizontal="center" vertical="center" wrapText="1"/>
    </xf>
    <xf numFmtId="44" fontId="1" fillId="0" borderId="0" xfId="0" applyNumberFormat="1" applyFont="1"/>
    <xf numFmtId="0" fontId="1" fillId="0" borderId="0" xfId="0" applyFont="1" applyAlignment="1">
      <alignment horizontal="center"/>
    </xf>
    <xf numFmtId="0" fontId="38" fillId="0" borderId="0" xfId="0" applyFont="1" applyAlignment="1">
      <alignment horizontal="center"/>
    </xf>
    <xf numFmtId="44" fontId="40" fillId="0" borderId="12" xfId="1" applyFont="1" applyFill="1" applyBorder="1" applyAlignment="1">
      <alignment horizontal="center" vertical="center" wrapText="1"/>
    </xf>
    <xf numFmtId="44" fontId="40" fillId="0" borderId="43" xfId="1" applyFont="1" applyFill="1" applyBorder="1" applyAlignment="1">
      <alignment horizontal="center" vertical="center" wrapText="1"/>
    </xf>
    <xf numFmtId="0" fontId="0" fillId="0" borderId="0" xfId="0" applyAlignment="1">
      <alignment horizontal="left"/>
    </xf>
    <xf numFmtId="0" fontId="42" fillId="28" borderId="0" xfId="235" applyFont="1" applyFill="1"/>
    <xf numFmtId="0" fontId="43" fillId="28" borderId="0" xfId="235" applyFont="1" applyFill="1"/>
    <xf numFmtId="0" fontId="20" fillId="28" borderId="0" xfId="235" applyFont="1" applyFill="1" applyAlignment="1">
      <alignment horizontal="center"/>
    </xf>
    <xf numFmtId="0" fontId="44" fillId="28" borderId="0" xfId="235" applyFont="1" applyFill="1" applyAlignment="1">
      <alignment horizontal="center" vertical="center" wrapText="1"/>
    </xf>
    <xf numFmtId="0" fontId="45" fillId="28" borderId="0" xfId="235" applyFont="1" applyFill="1"/>
    <xf numFmtId="0" fontId="45" fillId="28" borderId="0" xfId="235" applyFont="1" applyFill="1" applyAlignment="1">
      <alignment vertical="center"/>
    </xf>
    <xf numFmtId="0" fontId="20" fillId="28" borderId="0" xfId="235" applyFont="1" applyFill="1" applyAlignment="1">
      <alignment horizontal="left" vertical="center" wrapText="1"/>
    </xf>
    <xf numFmtId="0" fontId="45" fillId="28" borderId="0" xfId="235" applyFont="1" applyFill="1" applyAlignment="1">
      <alignment horizontal="center" vertical="center"/>
    </xf>
    <xf numFmtId="0" fontId="47" fillId="28" borderId="0" xfId="235" applyFont="1" applyFill="1" applyAlignment="1">
      <alignment vertical="center"/>
    </xf>
    <xf numFmtId="0" fontId="20" fillId="28" borderId="0" xfId="235" applyFont="1" applyFill="1" applyAlignment="1">
      <alignment vertical="center" wrapText="1"/>
    </xf>
    <xf numFmtId="0" fontId="47" fillId="28" borderId="0" xfId="235" applyFont="1" applyFill="1" applyAlignment="1">
      <alignment horizontal="center" vertical="center"/>
    </xf>
    <xf numFmtId="0" fontId="47" fillId="28" borderId="11" xfId="235" applyFont="1" applyFill="1" applyBorder="1" applyAlignment="1">
      <alignment vertical="center"/>
    </xf>
    <xf numFmtId="0" fontId="48" fillId="28" borderId="0" xfId="235" applyFont="1" applyFill="1" applyAlignment="1">
      <alignment horizontal="center" vertical="center"/>
    </xf>
    <xf numFmtId="0" fontId="46" fillId="28" borderId="0" xfId="235" applyFont="1" applyFill="1" applyAlignment="1" applyProtection="1">
      <alignment horizontal="left" vertical="center"/>
      <protection locked="0"/>
    </xf>
    <xf numFmtId="0" fontId="47" fillId="28" borderId="0" xfId="235" applyFont="1" applyFill="1"/>
    <xf numFmtId="0" fontId="20" fillId="28" borderId="0" xfId="235" applyFont="1" applyFill="1" applyAlignment="1">
      <alignment vertical="justify" wrapText="1"/>
    </xf>
    <xf numFmtId="0" fontId="46" fillId="28" borderId="0" xfId="235" applyFont="1" applyFill="1" applyAlignment="1">
      <alignment wrapText="1"/>
    </xf>
    <xf numFmtId="0" fontId="46" fillId="28" borderId="0" xfId="235" applyFont="1" applyFill="1" applyAlignment="1">
      <alignment horizontal="center" wrapText="1"/>
    </xf>
    <xf numFmtId="0" fontId="49" fillId="28" borderId="18" xfId="235" applyFont="1" applyFill="1" applyBorder="1" applyAlignment="1">
      <alignment horizontal="center" wrapText="1"/>
    </xf>
    <xf numFmtId="0" fontId="46" fillId="28" borderId="0" xfId="235" applyFont="1" applyFill="1"/>
    <xf numFmtId="0" fontId="50" fillId="0" borderId="11" xfId="235" applyFont="1" applyBorder="1" applyAlignment="1">
      <alignment horizontal="center" vertical="center"/>
    </xf>
    <xf numFmtId="0" fontId="51" fillId="28" borderId="21" xfId="235" applyFont="1" applyFill="1" applyBorder="1" applyAlignment="1">
      <alignment horizontal="center"/>
    </xf>
    <xf numFmtId="0" fontId="51" fillId="28" borderId="22" xfId="235" applyFont="1" applyFill="1" applyBorder="1" applyAlignment="1">
      <alignment wrapText="1"/>
    </xf>
    <xf numFmtId="39" fontId="51" fillId="28" borderId="22" xfId="511" applyNumberFormat="1" applyFont="1" applyFill="1" applyBorder="1" applyAlignment="1" applyProtection="1">
      <alignment horizontal="center" wrapText="1"/>
    </xf>
    <xf numFmtId="39" fontId="51" fillId="29" borderId="36" xfId="511" applyNumberFormat="1" applyFont="1" applyFill="1" applyBorder="1" applyAlignment="1" applyProtection="1">
      <alignment horizontal="center" wrapText="1"/>
      <protection locked="0"/>
    </xf>
    <xf numFmtId="0" fontId="51" fillId="28" borderId="16" xfId="235" applyFont="1" applyFill="1" applyBorder="1" applyAlignment="1">
      <alignment horizontal="center" wrapText="1"/>
    </xf>
    <xf numFmtId="0" fontId="51" fillId="28" borderId="11" xfId="235" applyFont="1" applyFill="1" applyBorder="1" applyAlignment="1">
      <alignment wrapText="1"/>
    </xf>
    <xf numFmtId="39" fontId="51" fillId="28" borderId="11" xfId="511" applyNumberFormat="1" applyFont="1" applyFill="1" applyBorder="1" applyAlignment="1" applyProtection="1">
      <alignment horizontal="center" wrapText="1"/>
    </xf>
    <xf numFmtId="39" fontId="51" fillId="29" borderId="14" xfId="511" applyNumberFormat="1" applyFont="1" applyFill="1" applyBorder="1" applyAlignment="1" applyProtection="1">
      <alignment horizontal="center" wrapText="1"/>
      <protection locked="0"/>
    </xf>
    <xf numFmtId="0" fontId="20" fillId="28" borderId="0" xfId="235" applyFont="1" applyFill="1"/>
    <xf numFmtId="10" fontId="47" fillId="28" borderId="38" xfId="481" applyNumberFormat="1" applyFont="1" applyFill="1" applyBorder="1" applyAlignment="1" applyProtection="1">
      <alignment horizontal="center"/>
    </xf>
    <xf numFmtId="0" fontId="20" fillId="28" borderId="48" xfId="235" applyFont="1" applyFill="1" applyBorder="1"/>
    <xf numFmtId="0" fontId="20" fillId="28" borderId="51" xfId="235" applyFont="1" applyFill="1" applyBorder="1"/>
    <xf numFmtId="2" fontId="20" fillId="28" borderId="44" xfId="235" applyNumberFormat="1" applyFont="1" applyFill="1" applyBorder="1"/>
    <xf numFmtId="0" fontId="51" fillId="28" borderId="16" xfId="235" applyFont="1" applyFill="1" applyBorder="1" applyAlignment="1">
      <alignment horizontal="center"/>
    </xf>
    <xf numFmtId="2" fontId="20" fillId="28" borderId="0" xfId="235" applyNumberFormat="1" applyFont="1" applyFill="1"/>
    <xf numFmtId="10" fontId="47" fillId="28" borderId="39" xfId="481" applyNumberFormat="1" applyFont="1" applyFill="1" applyBorder="1" applyAlignment="1" applyProtection="1">
      <alignment horizontal="center"/>
    </xf>
    <xf numFmtId="0" fontId="20" fillId="28" borderId="46" xfId="235" applyFont="1" applyFill="1" applyBorder="1"/>
    <xf numFmtId="0" fontId="20" fillId="28" borderId="52" xfId="235" applyFont="1" applyFill="1" applyBorder="1"/>
    <xf numFmtId="0" fontId="20" fillId="28" borderId="45" xfId="235" applyFont="1" applyFill="1" applyBorder="1"/>
    <xf numFmtId="10" fontId="20" fillId="28" borderId="0" xfId="481" applyNumberFormat="1" applyFont="1" applyFill="1" applyProtection="1"/>
    <xf numFmtId="0" fontId="51" fillId="28" borderId="11" xfId="235" applyFont="1" applyFill="1" applyBorder="1" applyAlignment="1">
      <alignment horizontal="justify" wrapText="1"/>
    </xf>
    <xf numFmtId="4" fontId="52" fillId="0" borderId="14" xfId="481" applyNumberFormat="1" applyFont="1" applyFill="1" applyBorder="1" applyAlignment="1" applyProtection="1">
      <alignment horizontal="center" wrapText="1"/>
    </xf>
    <xf numFmtId="0" fontId="47" fillId="28" borderId="48" xfId="235" applyFont="1" applyFill="1" applyBorder="1"/>
    <xf numFmtId="0" fontId="47" fillId="28" borderId="51" xfId="235" applyFont="1" applyFill="1" applyBorder="1"/>
    <xf numFmtId="0" fontId="47" fillId="28" borderId="44" xfId="235" applyFont="1" applyFill="1" applyBorder="1"/>
    <xf numFmtId="4" fontId="51" fillId="29" borderId="14" xfId="481" applyNumberFormat="1" applyFont="1" applyFill="1" applyBorder="1" applyAlignment="1" applyProtection="1">
      <alignment horizontal="center" wrapText="1"/>
      <protection locked="0"/>
    </xf>
    <xf numFmtId="0" fontId="47" fillId="28" borderId="53" xfId="235" applyFont="1" applyFill="1" applyBorder="1"/>
    <xf numFmtId="0" fontId="47" fillId="28" borderId="54" xfId="235" applyFont="1" applyFill="1" applyBorder="1"/>
    <xf numFmtId="2" fontId="52" fillId="28" borderId="11" xfId="481" applyNumberFormat="1" applyFont="1" applyFill="1" applyBorder="1" applyAlignment="1" applyProtection="1">
      <alignment horizontal="center" wrapText="1"/>
    </xf>
    <xf numFmtId="39" fontId="52" fillId="0" borderId="14" xfId="511" applyNumberFormat="1" applyFont="1" applyFill="1" applyBorder="1" applyAlignment="1" applyProtection="1">
      <alignment horizontal="center" wrapText="1"/>
    </xf>
    <xf numFmtId="0" fontId="47" fillId="28" borderId="45" xfId="235" applyFont="1" applyFill="1" applyBorder="1"/>
    <xf numFmtId="0" fontId="50" fillId="0" borderId="48" xfId="235" applyFont="1" applyBorder="1" applyAlignment="1">
      <alignment horizontal="right" vertical="center"/>
    </xf>
    <xf numFmtId="0" fontId="8" fillId="28" borderId="11" xfId="235" applyFont="1" applyFill="1" applyBorder="1" applyAlignment="1">
      <alignment horizontal="center"/>
    </xf>
    <xf numFmtId="0" fontId="20" fillId="28" borderId="51" xfId="158" applyFont="1" applyFill="1" applyBorder="1"/>
    <xf numFmtId="0" fontId="52" fillId="28" borderId="17" xfId="235" applyFont="1" applyFill="1" applyBorder="1" applyAlignment="1">
      <alignment horizontal="center"/>
    </xf>
    <xf numFmtId="0" fontId="52" fillId="28" borderId="18" xfId="235" applyFont="1" applyFill="1" applyBorder="1" applyAlignment="1">
      <alignment wrapText="1"/>
    </xf>
    <xf numFmtId="2" fontId="52" fillId="28" borderId="49" xfId="481" applyNumberFormat="1" applyFont="1" applyFill="1" applyBorder="1" applyAlignment="1" applyProtection="1">
      <alignment horizontal="center" wrapText="1"/>
    </xf>
    <xf numFmtId="2" fontId="52" fillId="28" borderId="56" xfId="481" applyNumberFormat="1" applyFont="1" applyFill="1" applyBorder="1" applyAlignment="1" applyProtection="1">
      <alignment horizontal="center" wrapText="1"/>
    </xf>
    <xf numFmtId="2" fontId="52" fillId="28" borderId="50" xfId="481" applyNumberFormat="1" applyFont="1" applyFill="1" applyBorder="1" applyAlignment="1" applyProtection="1">
      <alignment horizontal="center" wrapText="1"/>
    </xf>
    <xf numFmtId="39" fontId="52" fillId="0" borderId="19" xfId="511" applyNumberFormat="1" applyFont="1" applyFill="1" applyBorder="1" applyAlignment="1" applyProtection="1">
      <alignment horizontal="center" wrapText="1"/>
    </xf>
    <xf numFmtId="39" fontId="20" fillId="28" borderId="0" xfId="235" applyNumberFormat="1" applyFont="1" applyFill="1" applyAlignment="1">
      <alignment horizontal="center"/>
    </xf>
    <xf numFmtId="10" fontId="47" fillId="28" borderId="12" xfId="481" applyNumberFormat="1" applyFont="1" applyFill="1" applyBorder="1" applyAlignment="1" applyProtection="1">
      <alignment horizontal="center"/>
    </xf>
    <xf numFmtId="0" fontId="50" fillId="0" borderId="53" xfId="235" applyFont="1" applyBorder="1" applyAlignment="1">
      <alignment horizontal="right" vertical="center"/>
    </xf>
    <xf numFmtId="0" fontId="20" fillId="28" borderId="0" xfId="158" applyFont="1" applyFill="1"/>
    <xf numFmtId="0" fontId="20" fillId="28" borderId="54" xfId="235" applyFont="1" applyFill="1" applyBorder="1"/>
    <xf numFmtId="10" fontId="20" fillId="28" borderId="0" xfId="481" applyNumberFormat="1" applyFont="1" applyFill="1" applyBorder="1" applyProtection="1"/>
    <xf numFmtId="14" fontId="20" fillId="28" borderId="0" xfId="235" applyNumberFormat="1" applyFont="1" applyFill="1" applyAlignment="1">
      <alignment horizontal="center"/>
    </xf>
    <xf numFmtId="0" fontId="50" fillId="0" borderId="46" xfId="235" applyFont="1" applyBorder="1" applyAlignment="1">
      <alignment horizontal="right" vertical="center"/>
    </xf>
    <xf numFmtId="0" fontId="20" fillId="28" borderId="52" xfId="158" applyFont="1" applyFill="1" applyBorder="1"/>
    <xf numFmtId="0" fontId="53" fillId="0" borderId="0" xfId="235" applyFont="1"/>
    <xf numFmtId="0" fontId="20" fillId="0" borderId="0" xfId="235" applyFont="1"/>
    <xf numFmtId="0" fontId="46" fillId="28" borderId="0" xfId="235" applyFont="1" applyFill="1" applyAlignment="1">
      <alignment horizontal="justify"/>
    </xf>
    <xf numFmtId="0" fontId="46" fillId="28" borderId="0" xfId="235" applyFont="1" applyFill="1" applyAlignment="1">
      <alignment horizontal="left"/>
    </xf>
    <xf numFmtId="0" fontId="51" fillId="28" borderId="0" xfId="235" applyFont="1" applyFill="1" applyAlignment="1">
      <alignment horizontal="left"/>
    </xf>
    <xf numFmtId="0" fontId="51" fillId="29" borderId="0" xfId="235" applyFont="1" applyFill="1" applyAlignment="1" applyProtection="1">
      <alignment horizontal="left"/>
      <protection locked="0"/>
    </xf>
    <xf numFmtId="14" fontId="51" fillId="29" borderId="0" xfId="235" applyNumberFormat="1" applyFont="1" applyFill="1" applyAlignment="1" applyProtection="1">
      <alignment horizontal="left"/>
      <protection locked="0"/>
    </xf>
    <xf numFmtId="0" fontId="51" fillId="28" borderId="52" xfId="235" applyFont="1" applyFill="1" applyBorder="1" applyAlignment="1">
      <alignment horizontal="left"/>
    </xf>
    <xf numFmtId="0" fontId="51" fillId="28" borderId="0" xfId="235" applyFont="1" applyFill="1" applyAlignment="1">
      <alignment horizontal="center"/>
    </xf>
    <xf numFmtId="0" fontId="47" fillId="28" borderId="0" xfId="235" applyFont="1" applyFill="1" applyAlignment="1">
      <alignment horizontal="center"/>
    </xf>
    <xf numFmtId="0" fontId="44" fillId="28" borderId="0" xfId="235" applyFont="1" applyFill="1"/>
    <xf numFmtId="0" fontId="44" fillId="28" borderId="0" xfId="235" applyFont="1" applyFill="1" applyAlignment="1">
      <alignment horizontal="center" wrapText="1"/>
    </xf>
    <xf numFmtId="2" fontId="46" fillId="28" borderId="0" xfId="235" applyNumberFormat="1" applyFont="1" applyFill="1" applyAlignment="1">
      <alignment wrapText="1"/>
    </xf>
    <xf numFmtId="0" fontId="44" fillId="28" borderId="0" xfId="235" applyFont="1" applyFill="1" applyAlignment="1">
      <alignment wrapText="1"/>
    </xf>
    <xf numFmtId="2" fontId="44" fillId="28" borderId="0" xfId="235" applyNumberFormat="1" applyFont="1" applyFill="1" applyAlignment="1">
      <alignment wrapText="1"/>
    </xf>
    <xf numFmtId="0" fontId="51" fillId="28" borderId="0" xfId="235" applyFont="1" applyFill="1" applyAlignment="1">
      <alignment horizontal="justify"/>
    </xf>
    <xf numFmtId="44" fontId="40" fillId="0" borderId="22" xfId="1" applyFont="1" applyFill="1" applyBorder="1" applyAlignment="1">
      <alignment horizontal="center" vertical="center" wrapText="1"/>
    </xf>
    <xf numFmtId="0" fontId="0" fillId="0" borderId="0" xfId="0" applyAlignment="1">
      <alignment vertical="center"/>
    </xf>
    <xf numFmtId="0" fontId="6" fillId="0" borderId="5" xfId="0" applyFont="1" applyBorder="1" applyAlignment="1">
      <alignment horizontal="center" vertical="center" wrapText="1"/>
    </xf>
    <xf numFmtId="44" fontId="6" fillId="0" borderId="59" xfId="1" applyFont="1" applyBorder="1" applyAlignment="1">
      <alignment horizontal="center" vertical="center" wrapText="1"/>
    </xf>
    <xf numFmtId="10" fontId="5" fillId="0" borderId="10" xfId="521" applyNumberFormat="1" applyFont="1" applyBorder="1" applyAlignment="1">
      <alignment horizontal="center"/>
    </xf>
    <xf numFmtId="44" fontId="6" fillId="0" borderId="8" xfId="1" applyFont="1" applyBorder="1" applyAlignment="1">
      <alignment horizontal="center"/>
    </xf>
    <xf numFmtId="0" fontId="0" fillId="0" borderId="0" xfId="0" applyAlignment="1">
      <alignment horizontal="center"/>
    </xf>
    <xf numFmtId="0" fontId="6" fillId="0" borderId="0" xfId="0" applyFont="1" applyAlignment="1">
      <alignment horizontal="left" wrapText="1"/>
    </xf>
    <xf numFmtId="0" fontId="39" fillId="0" borderId="2" xfId="0" applyFont="1" applyBorder="1" applyAlignment="1">
      <alignment horizontal="center" vertical="center" wrapText="1"/>
    </xf>
    <xf numFmtId="0" fontId="39" fillId="0" borderId="2" xfId="0" applyFont="1" applyBorder="1" applyAlignment="1">
      <alignment vertical="center" wrapText="1"/>
    </xf>
    <xf numFmtId="0" fontId="39" fillId="0" borderId="3" xfId="0" applyFont="1" applyBorder="1" applyAlignment="1">
      <alignment horizontal="center" vertical="center" wrapText="1"/>
    </xf>
    <xf numFmtId="44" fontId="39" fillId="0" borderId="3" xfId="1" applyFont="1" applyFill="1" applyBorder="1" applyAlignment="1">
      <alignment horizontal="center" vertical="center" wrapText="1"/>
    </xf>
    <xf numFmtId="44" fontId="39" fillId="0" borderId="4" xfId="1" applyFont="1" applyFill="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vertical="center" wrapText="1"/>
    </xf>
    <xf numFmtId="0" fontId="39" fillId="0" borderId="9" xfId="0" applyFont="1" applyBorder="1" applyAlignment="1">
      <alignment horizontal="center" vertical="center" wrapText="1"/>
    </xf>
    <xf numFmtId="44" fontId="39" fillId="0" borderId="9" xfId="1" applyFont="1" applyFill="1" applyBorder="1" applyAlignment="1">
      <alignment horizontal="center" vertical="center" wrapText="1"/>
    </xf>
    <xf numFmtId="17" fontId="39" fillId="0" borderId="10" xfId="1"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41" xfId="0" applyFont="1" applyBorder="1" applyAlignment="1">
      <alignment vertical="center" wrapText="1"/>
    </xf>
    <xf numFmtId="0" fontId="39" fillId="0" borderId="40" xfId="0" applyFont="1" applyBorder="1" applyAlignment="1">
      <alignment horizontal="center" vertical="center" wrapText="1"/>
    </xf>
    <xf numFmtId="44" fontId="39" fillId="0" borderId="40" xfId="1" applyFont="1" applyFill="1" applyBorder="1" applyAlignment="1">
      <alignment horizontal="center" vertical="center" wrapText="1"/>
    </xf>
    <xf numFmtId="44" fontId="39" fillId="0" borderId="42" xfId="1" applyFont="1" applyFill="1" applyBorder="1" applyAlignment="1">
      <alignment horizontal="center" vertical="center" wrapText="1"/>
    </xf>
    <xf numFmtId="17" fontId="39" fillId="0" borderId="1" xfId="1" applyNumberFormat="1" applyFont="1" applyFill="1" applyBorder="1" applyAlignment="1">
      <alignment horizontal="center" vertical="center" wrapText="1"/>
    </xf>
    <xf numFmtId="0" fontId="40" fillId="0" borderId="15" xfId="0" applyFont="1" applyBorder="1" applyAlignment="1">
      <alignment horizontal="center" vertical="center" wrapText="1"/>
    </xf>
    <xf numFmtId="0" fontId="40" fillId="0" borderId="12" xfId="0" applyFont="1" applyBorder="1" applyAlignment="1">
      <alignment vertical="center" wrapText="1"/>
    </xf>
    <xf numFmtId="2" fontId="40" fillId="0" borderId="12" xfId="0" applyNumberFormat="1" applyFont="1" applyBorder="1" applyAlignment="1">
      <alignment horizontal="center" vertical="center" wrapText="1"/>
    </xf>
    <xf numFmtId="0" fontId="40" fillId="0" borderId="13" xfId="0" applyFont="1" applyBorder="1" applyAlignment="1">
      <alignment horizontal="center" vertical="center"/>
    </xf>
    <xf numFmtId="0" fontId="40" fillId="0" borderId="21" xfId="0" applyFont="1" applyBorder="1" applyAlignment="1">
      <alignment horizontal="center" vertical="center" wrapText="1"/>
    </xf>
    <xf numFmtId="0" fontId="40" fillId="0" borderId="22" xfId="0" applyFont="1" applyBorder="1" applyAlignment="1">
      <alignment vertical="center" wrapText="1"/>
    </xf>
    <xf numFmtId="2" fontId="40" fillId="0" borderId="22" xfId="0" applyNumberFormat="1" applyFont="1" applyBorder="1" applyAlignment="1">
      <alignment horizontal="center" vertical="center" wrapText="1"/>
    </xf>
    <xf numFmtId="0" fontId="40" fillId="0" borderId="36" xfId="0" applyFont="1" applyBorder="1" applyAlignment="1">
      <alignment horizontal="center" vertical="center"/>
    </xf>
    <xf numFmtId="0" fontId="40" fillId="0" borderId="57" xfId="0" applyFont="1" applyBorder="1" applyAlignment="1">
      <alignment horizontal="center" vertical="center" wrapText="1"/>
    </xf>
    <xf numFmtId="0" fontId="40" fillId="0" borderId="43" xfId="0" applyFont="1" applyBorder="1" applyAlignment="1">
      <alignment vertical="center" wrapText="1"/>
    </xf>
    <xf numFmtId="2" fontId="40" fillId="0" borderId="43" xfId="0" applyNumberFormat="1" applyFont="1" applyBorder="1" applyAlignment="1">
      <alignment horizontal="center" vertical="center" wrapText="1"/>
    </xf>
    <xf numFmtId="0" fontId="40" fillId="0" borderId="59" xfId="0" applyFont="1" applyBorder="1" applyAlignment="1">
      <alignment horizontal="center" vertical="center"/>
    </xf>
    <xf numFmtId="0" fontId="57" fillId="0" borderId="58" xfId="4" applyFont="1" applyBorder="1" applyAlignment="1">
      <alignment horizontal="center" vertical="center" wrapText="1"/>
    </xf>
    <xf numFmtId="0" fontId="57" fillId="0" borderId="58" xfId="4" applyFont="1" applyBorder="1" applyAlignment="1">
      <alignment horizontal="left" vertical="center" wrapText="1"/>
    </xf>
    <xf numFmtId="170" fontId="57" fillId="0" borderId="58" xfId="179" applyFont="1" applyFill="1" applyBorder="1" applyAlignment="1">
      <alignment horizontal="center" vertical="center" wrapText="1"/>
    </xf>
    <xf numFmtId="0" fontId="57" fillId="0" borderId="1" xfId="4" applyFont="1" applyBorder="1" applyAlignment="1">
      <alignment horizontal="center" vertical="center" wrapText="1"/>
    </xf>
    <xf numFmtId="0" fontId="58" fillId="0" borderId="12" xfId="4" applyFont="1" applyBorder="1" applyAlignment="1">
      <alignment horizontal="center" vertical="center" wrapText="1"/>
    </xf>
    <xf numFmtId="0" fontId="58" fillId="0" borderId="12" xfId="4" applyFont="1" applyBorder="1" applyAlignment="1">
      <alignment horizontal="left" vertical="center" wrapText="1"/>
    </xf>
    <xf numFmtId="170" fontId="58" fillId="0" borderId="12" xfId="179" applyFont="1" applyFill="1" applyBorder="1" applyAlignment="1">
      <alignment horizontal="center" vertical="center" wrapText="1"/>
    </xf>
    <xf numFmtId="170" fontId="40" fillId="0" borderId="12" xfId="179" applyFont="1" applyFill="1" applyBorder="1" applyAlignment="1">
      <alignment horizontal="center" vertical="center"/>
    </xf>
    <xf numFmtId="0" fontId="39" fillId="0" borderId="10" xfId="0" applyFont="1" applyBorder="1"/>
    <xf numFmtId="170" fontId="39" fillId="0" borderId="1" xfId="179" applyFont="1" applyFill="1" applyBorder="1" applyAlignment="1">
      <alignment horizontal="center" vertical="center"/>
    </xf>
    <xf numFmtId="170" fontId="58" fillId="0" borderId="11" xfId="179" applyFont="1" applyFill="1" applyBorder="1" applyAlignment="1">
      <alignment horizontal="center" vertical="center" wrapText="1"/>
    </xf>
    <xf numFmtId="0" fontId="58" fillId="0" borderId="11" xfId="4" applyFont="1" applyBorder="1" applyAlignment="1">
      <alignment horizontal="center" vertical="center" wrapText="1"/>
    </xf>
    <xf numFmtId="0" fontId="58" fillId="0" borderId="11" xfId="4" applyFont="1" applyBorder="1" applyAlignment="1">
      <alignment horizontal="left" vertical="center" wrapText="1"/>
    </xf>
    <xf numFmtId="170" fontId="40" fillId="0" borderId="11" xfId="179" applyFont="1" applyFill="1" applyBorder="1" applyAlignment="1">
      <alignment horizontal="center" vertical="center"/>
    </xf>
    <xf numFmtId="2" fontId="58" fillId="0" borderId="12" xfId="4" applyNumberFormat="1" applyFont="1" applyBorder="1" applyAlignment="1">
      <alignment horizontal="center" vertical="center" wrapText="1"/>
    </xf>
    <xf numFmtId="173" fontId="58" fillId="0" borderId="11" xfId="4" applyNumberFormat="1" applyFont="1" applyBorder="1" applyAlignment="1">
      <alignment horizontal="center" vertical="center" wrapText="1"/>
    </xf>
    <xf numFmtId="2" fontId="58" fillId="0" borderId="11" xfId="4" applyNumberFormat="1" applyFont="1" applyBorder="1" applyAlignment="1">
      <alignment horizontal="center" vertical="center" wrapText="1"/>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6" fillId="0" borderId="0" xfId="0" applyFont="1" applyAlignment="1">
      <alignment horizontal="center" vertical="center" wrapText="1"/>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0" borderId="0" xfId="0" applyFont="1" applyAlignment="1">
      <alignment horizontal="left"/>
    </xf>
    <xf numFmtId="0" fontId="39" fillId="0" borderId="8" xfId="0" applyFont="1" applyBorder="1" applyAlignment="1">
      <alignment horizontal="right"/>
    </xf>
    <xf numFmtId="0" fontId="39" fillId="0" borderId="9" xfId="0" applyFont="1" applyBorder="1" applyAlignment="1">
      <alignment horizontal="right"/>
    </xf>
    <xf numFmtId="0" fontId="39" fillId="0" borderId="10" xfId="0" applyFont="1" applyBorder="1" applyAlignment="1">
      <alignment horizontal="right"/>
    </xf>
    <xf numFmtId="0" fontId="38" fillId="0" borderId="8" xfId="0" applyFont="1" applyBorder="1" applyAlignment="1">
      <alignment horizontal="center"/>
    </xf>
    <xf numFmtId="0" fontId="38" fillId="0" borderId="9" xfId="0" applyFont="1" applyBorder="1" applyAlignment="1">
      <alignment horizontal="center"/>
    </xf>
    <xf numFmtId="0" fontId="38" fillId="0" borderId="10" xfId="0" applyFont="1" applyBorder="1" applyAlignment="1">
      <alignment horizontal="center"/>
    </xf>
    <xf numFmtId="0" fontId="49" fillId="28" borderId="21" xfId="235" applyFont="1" applyFill="1" applyBorder="1" applyAlignment="1">
      <alignment horizontal="center" vertical="center" wrapText="1"/>
    </xf>
    <xf numFmtId="0" fontId="49" fillId="28" borderId="17" xfId="235" applyFont="1" applyFill="1" applyBorder="1" applyAlignment="1">
      <alignment horizontal="center" vertical="center" wrapText="1"/>
    </xf>
    <xf numFmtId="0" fontId="49" fillId="28" borderId="22" xfId="235" applyFont="1" applyFill="1" applyBorder="1" applyAlignment="1">
      <alignment horizontal="center" vertical="center" wrapText="1"/>
    </xf>
    <xf numFmtId="0" fontId="49" fillId="28" borderId="18" xfId="235" applyFont="1" applyFill="1" applyBorder="1" applyAlignment="1">
      <alignment horizontal="center" vertical="center" wrapText="1"/>
    </xf>
    <xf numFmtId="0" fontId="49" fillId="28" borderId="22" xfId="235" applyFont="1" applyFill="1" applyBorder="1" applyAlignment="1">
      <alignment horizontal="center" wrapText="1"/>
    </xf>
    <xf numFmtId="0" fontId="49" fillId="28" borderId="36" xfId="235" applyFont="1" applyFill="1" applyBorder="1" applyAlignment="1">
      <alignment horizontal="center" vertical="center" wrapText="1"/>
    </xf>
    <xf numFmtId="0" fontId="49" fillId="28" borderId="19" xfId="235" applyFont="1" applyFill="1" applyBorder="1" applyAlignment="1">
      <alignment horizontal="center" vertical="center" wrapText="1"/>
    </xf>
    <xf numFmtId="0" fontId="44" fillId="28" borderId="0" xfId="235" applyFont="1" applyFill="1" applyAlignment="1">
      <alignment horizontal="center" vertical="center" wrapText="1"/>
    </xf>
    <xf numFmtId="0" fontId="46" fillId="29" borderId="0" xfId="235" applyFont="1" applyFill="1" applyAlignment="1" applyProtection="1">
      <alignment horizontal="left" vertical="center" wrapText="1"/>
      <protection locked="0"/>
    </xf>
    <xf numFmtId="0" fontId="46" fillId="29" borderId="0" xfId="235" applyFont="1" applyFill="1" applyAlignment="1" applyProtection="1">
      <alignment horizontal="left" vertical="justify"/>
      <protection locked="0"/>
    </xf>
    <xf numFmtId="0" fontId="20" fillId="28" borderId="0" xfId="235" applyFont="1" applyFill="1" applyAlignment="1">
      <alignment horizontal="justify" vertical="justify" wrapText="1"/>
    </xf>
    <xf numFmtId="0" fontId="46" fillId="28" borderId="0" xfId="235" applyFont="1" applyFill="1" applyAlignment="1">
      <alignment horizontal="left"/>
    </xf>
    <xf numFmtId="0" fontId="44" fillId="28" borderId="37" xfId="235" applyFont="1" applyFill="1" applyBorder="1" applyAlignment="1">
      <alignment horizontal="center" vertical="center"/>
    </xf>
    <xf numFmtId="2" fontId="51" fillId="28" borderId="11" xfId="481" applyNumberFormat="1" applyFont="1" applyFill="1" applyBorder="1" applyAlignment="1" applyProtection="1">
      <alignment horizontal="center" wrapText="1"/>
    </xf>
    <xf numFmtId="2" fontId="51" fillId="29" borderId="47" xfId="481" applyNumberFormat="1" applyFont="1" applyFill="1" applyBorder="1" applyAlignment="1" applyProtection="1">
      <alignment horizontal="left" wrapText="1"/>
      <protection locked="0"/>
    </xf>
    <xf numFmtId="2" fontId="51" fillId="29" borderId="55" xfId="481" applyNumberFormat="1" applyFont="1" applyFill="1" applyBorder="1" applyAlignment="1" applyProtection="1">
      <alignment horizontal="left" wrapText="1"/>
      <protection locked="0"/>
    </xf>
    <xf numFmtId="2" fontId="51" fillId="29" borderId="20" xfId="481" applyNumberFormat="1" applyFont="1" applyFill="1" applyBorder="1" applyAlignment="1" applyProtection="1">
      <alignment horizontal="left" wrapText="1"/>
      <protection locked="0"/>
    </xf>
    <xf numFmtId="0" fontId="46" fillId="28" borderId="0" xfId="235" applyFont="1" applyFill="1" applyAlignment="1">
      <alignment horizontal="justify" wrapText="1"/>
    </xf>
    <xf numFmtId="0" fontId="20" fillId="28" borderId="0" xfId="235" applyFont="1" applyFill="1" applyAlignment="1">
      <alignment horizontal="left" wrapText="1"/>
    </xf>
    <xf numFmtId="0" fontId="44" fillId="28" borderId="0" xfId="235" applyFont="1" applyFill="1" applyAlignment="1">
      <alignment wrapText="1"/>
    </xf>
    <xf numFmtId="0" fontId="44" fillId="28" borderId="0" xfId="235" applyFont="1" applyFill="1" applyAlignment="1">
      <alignment horizontal="center" wrapText="1"/>
    </xf>
    <xf numFmtId="0" fontId="54" fillId="28" borderId="0" xfId="235" applyFont="1" applyFill="1" applyAlignment="1">
      <alignment horizontal="left"/>
    </xf>
    <xf numFmtId="0" fontId="46" fillId="28" borderId="0" xfId="235" applyFont="1" applyFill="1" applyAlignment="1">
      <alignment horizontal="left" wrapText="1"/>
    </xf>
  </cellXfs>
  <cellStyles count="522">
    <cellStyle name="20% - Accent1" xfId="8" xr:uid="{00000000-0005-0000-0000-000000000000}"/>
    <cellStyle name="20% - Accent1 2" xfId="9" xr:uid="{00000000-0005-0000-0000-000001000000}"/>
    <cellStyle name="20% - Accent1 2 2" xfId="10" xr:uid="{00000000-0005-0000-0000-000002000000}"/>
    <cellStyle name="20% - Accent1 2 3" xfId="11" xr:uid="{00000000-0005-0000-0000-000003000000}"/>
    <cellStyle name="20% - Accent1 3" xfId="12" xr:uid="{00000000-0005-0000-0000-000004000000}"/>
    <cellStyle name="20% - Accent1 4" xfId="13" xr:uid="{00000000-0005-0000-0000-000005000000}"/>
    <cellStyle name="20% - Accent2" xfId="14" xr:uid="{00000000-0005-0000-0000-000006000000}"/>
    <cellStyle name="20% - Accent2 2" xfId="15" xr:uid="{00000000-0005-0000-0000-000007000000}"/>
    <cellStyle name="20% - Accent2 2 2" xfId="16" xr:uid="{00000000-0005-0000-0000-000008000000}"/>
    <cellStyle name="20% - Accent2 2 3" xfId="17" xr:uid="{00000000-0005-0000-0000-000009000000}"/>
    <cellStyle name="20% - Accent2 3" xfId="18" xr:uid="{00000000-0005-0000-0000-00000A000000}"/>
    <cellStyle name="20% - Accent2 4" xfId="19" xr:uid="{00000000-0005-0000-0000-00000B000000}"/>
    <cellStyle name="20% - Accent3" xfId="20" xr:uid="{00000000-0005-0000-0000-00000C000000}"/>
    <cellStyle name="20% - Accent3 2" xfId="21" xr:uid="{00000000-0005-0000-0000-00000D000000}"/>
    <cellStyle name="20% - Accent3 2 2" xfId="22" xr:uid="{00000000-0005-0000-0000-00000E000000}"/>
    <cellStyle name="20% - Accent3 2 3" xfId="23" xr:uid="{00000000-0005-0000-0000-00000F000000}"/>
    <cellStyle name="20% - Accent3 3" xfId="24" xr:uid="{00000000-0005-0000-0000-000010000000}"/>
    <cellStyle name="20% - Accent3 4" xfId="25" xr:uid="{00000000-0005-0000-0000-000011000000}"/>
    <cellStyle name="20% - Accent4" xfId="26" xr:uid="{00000000-0005-0000-0000-000012000000}"/>
    <cellStyle name="20% - Accent4 2" xfId="27" xr:uid="{00000000-0005-0000-0000-000013000000}"/>
    <cellStyle name="20% - Accent4 2 2" xfId="28" xr:uid="{00000000-0005-0000-0000-000014000000}"/>
    <cellStyle name="20% - Accent4 2 3" xfId="29" xr:uid="{00000000-0005-0000-0000-000015000000}"/>
    <cellStyle name="20% - Accent4 3" xfId="30" xr:uid="{00000000-0005-0000-0000-000016000000}"/>
    <cellStyle name="20% - Accent4 4" xfId="31" xr:uid="{00000000-0005-0000-0000-000017000000}"/>
    <cellStyle name="20% - Accent5" xfId="32" xr:uid="{00000000-0005-0000-0000-000018000000}"/>
    <cellStyle name="20% - Accent5 2" xfId="33" xr:uid="{00000000-0005-0000-0000-000019000000}"/>
    <cellStyle name="20% - Accent5 3" xfId="34" xr:uid="{00000000-0005-0000-0000-00001A000000}"/>
    <cellStyle name="20% - Accent6" xfId="35" xr:uid="{00000000-0005-0000-0000-00001B000000}"/>
    <cellStyle name="20% - Accent6 2" xfId="36" xr:uid="{00000000-0005-0000-0000-00001C000000}"/>
    <cellStyle name="20% - Accent6 2 2" xfId="37" xr:uid="{00000000-0005-0000-0000-00001D000000}"/>
    <cellStyle name="20% - Accent6 2 3" xfId="38" xr:uid="{00000000-0005-0000-0000-00001E000000}"/>
    <cellStyle name="20% - Accent6 3" xfId="39" xr:uid="{00000000-0005-0000-0000-00001F000000}"/>
    <cellStyle name="20% - Accent6 4" xfId="40" xr:uid="{00000000-0005-0000-0000-000020000000}"/>
    <cellStyle name="20% - Ênfase1 2" xfId="41" xr:uid="{00000000-0005-0000-0000-000021000000}"/>
    <cellStyle name="20% - Ênfase1 2 2" xfId="42" xr:uid="{00000000-0005-0000-0000-000022000000}"/>
    <cellStyle name="20% - Ênfase1 2 3" xfId="43" xr:uid="{00000000-0005-0000-0000-000023000000}"/>
    <cellStyle name="20% - Ênfase2 2" xfId="44" xr:uid="{00000000-0005-0000-0000-000024000000}"/>
    <cellStyle name="20% - Ênfase2 2 2" xfId="45" xr:uid="{00000000-0005-0000-0000-000025000000}"/>
    <cellStyle name="20% - Ênfase2 2 3" xfId="46" xr:uid="{00000000-0005-0000-0000-000026000000}"/>
    <cellStyle name="20% - Ênfase3 2" xfId="47" xr:uid="{00000000-0005-0000-0000-000027000000}"/>
    <cellStyle name="20% - Ênfase3 2 2" xfId="48" xr:uid="{00000000-0005-0000-0000-000028000000}"/>
    <cellStyle name="20% - Ênfase3 2 3" xfId="49" xr:uid="{00000000-0005-0000-0000-000029000000}"/>
    <cellStyle name="20% - Ênfase4 2" xfId="50" xr:uid="{00000000-0005-0000-0000-00002A000000}"/>
    <cellStyle name="20% - Ênfase4 2 2" xfId="51" xr:uid="{00000000-0005-0000-0000-00002B000000}"/>
    <cellStyle name="20% - Ênfase4 2 3" xfId="52" xr:uid="{00000000-0005-0000-0000-00002C000000}"/>
    <cellStyle name="20% - Ênfase5 2" xfId="53" xr:uid="{00000000-0005-0000-0000-00002D000000}"/>
    <cellStyle name="20% - Ênfase5 2 2" xfId="54" xr:uid="{00000000-0005-0000-0000-00002E000000}"/>
    <cellStyle name="20% - Ênfase5 2 3" xfId="55" xr:uid="{00000000-0005-0000-0000-00002F000000}"/>
    <cellStyle name="20% - Ênfase6 2" xfId="56" xr:uid="{00000000-0005-0000-0000-000030000000}"/>
    <cellStyle name="20% - Ênfase6 2 2" xfId="57" xr:uid="{00000000-0005-0000-0000-000031000000}"/>
    <cellStyle name="20% - Ênfase6 2 3" xfId="58" xr:uid="{00000000-0005-0000-0000-000032000000}"/>
    <cellStyle name="40% - Accent1" xfId="59" xr:uid="{00000000-0005-0000-0000-000033000000}"/>
    <cellStyle name="40% - Accent1 2" xfId="60" xr:uid="{00000000-0005-0000-0000-000034000000}"/>
    <cellStyle name="40% - Accent1 2 2" xfId="61" xr:uid="{00000000-0005-0000-0000-000035000000}"/>
    <cellStyle name="40% - Accent1 2 3" xfId="62" xr:uid="{00000000-0005-0000-0000-000036000000}"/>
    <cellStyle name="40% - Accent1 3" xfId="63" xr:uid="{00000000-0005-0000-0000-000037000000}"/>
    <cellStyle name="40% - Accent1 4" xfId="64" xr:uid="{00000000-0005-0000-0000-000038000000}"/>
    <cellStyle name="40% - Accent2" xfId="65" xr:uid="{00000000-0005-0000-0000-000039000000}"/>
    <cellStyle name="40% - Accent2 2" xfId="66" xr:uid="{00000000-0005-0000-0000-00003A000000}"/>
    <cellStyle name="40% - Accent2 3" xfId="67" xr:uid="{00000000-0005-0000-0000-00003B000000}"/>
    <cellStyle name="40% - Accent3" xfId="68" xr:uid="{00000000-0005-0000-0000-00003C000000}"/>
    <cellStyle name="40% - Accent3 2" xfId="69" xr:uid="{00000000-0005-0000-0000-00003D000000}"/>
    <cellStyle name="40% - Accent3 2 2" xfId="70" xr:uid="{00000000-0005-0000-0000-00003E000000}"/>
    <cellStyle name="40% - Accent3 2 3" xfId="71" xr:uid="{00000000-0005-0000-0000-00003F000000}"/>
    <cellStyle name="40% - Accent3 3" xfId="72" xr:uid="{00000000-0005-0000-0000-000040000000}"/>
    <cellStyle name="40% - Accent3 4" xfId="73" xr:uid="{00000000-0005-0000-0000-000041000000}"/>
    <cellStyle name="40% - Accent4" xfId="74" xr:uid="{00000000-0005-0000-0000-000042000000}"/>
    <cellStyle name="40% - Accent4 2" xfId="75" xr:uid="{00000000-0005-0000-0000-000043000000}"/>
    <cellStyle name="40% - Accent4 2 2" xfId="76" xr:uid="{00000000-0005-0000-0000-000044000000}"/>
    <cellStyle name="40% - Accent4 2 3" xfId="77" xr:uid="{00000000-0005-0000-0000-000045000000}"/>
    <cellStyle name="40% - Accent4 3" xfId="78" xr:uid="{00000000-0005-0000-0000-000046000000}"/>
    <cellStyle name="40% - Accent4 4" xfId="79" xr:uid="{00000000-0005-0000-0000-000047000000}"/>
    <cellStyle name="40% - Accent5" xfId="80" xr:uid="{00000000-0005-0000-0000-000048000000}"/>
    <cellStyle name="40% - Accent5 2" xfId="81" xr:uid="{00000000-0005-0000-0000-000049000000}"/>
    <cellStyle name="40% - Accent5 2 2" xfId="82" xr:uid="{00000000-0005-0000-0000-00004A000000}"/>
    <cellStyle name="40% - Accent5 2 3" xfId="83" xr:uid="{00000000-0005-0000-0000-00004B000000}"/>
    <cellStyle name="40% - Accent5 3" xfId="84" xr:uid="{00000000-0005-0000-0000-00004C000000}"/>
    <cellStyle name="40% - Accent5 4" xfId="85" xr:uid="{00000000-0005-0000-0000-00004D000000}"/>
    <cellStyle name="40% - Accent6" xfId="86" xr:uid="{00000000-0005-0000-0000-00004E000000}"/>
    <cellStyle name="40% - Accent6 2" xfId="87" xr:uid="{00000000-0005-0000-0000-00004F000000}"/>
    <cellStyle name="40% - Accent6 2 2" xfId="88" xr:uid="{00000000-0005-0000-0000-000050000000}"/>
    <cellStyle name="40% - Accent6 2 3" xfId="89" xr:uid="{00000000-0005-0000-0000-000051000000}"/>
    <cellStyle name="40% - Accent6 3" xfId="90" xr:uid="{00000000-0005-0000-0000-000052000000}"/>
    <cellStyle name="40% - Accent6 4" xfId="91" xr:uid="{00000000-0005-0000-0000-000053000000}"/>
    <cellStyle name="40% - Ênfase1 2" xfId="92" xr:uid="{00000000-0005-0000-0000-000054000000}"/>
    <cellStyle name="40% - Ênfase1 2 2" xfId="93" xr:uid="{00000000-0005-0000-0000-000055000000}"/>
    <cellStyle name="40% - Ênfase1 2 3" xfId="94" xr:uid="{00000000-0005-0000-0000-000056000000}"/>
    <cellStyle name="40% - Ênfase2 2" xfId="95" xr:uid="{00000000-0005-0000-0000-000057000000}"/>
    <cellStyle name="40% - Ênfase2 2 2" xfId="96" xr:uid="{00000000-0005-0000-0000-000058000000}"/>
    <cellStyle name="40% - Ênfase2 2 3" xfId="97" xr:uid="{00000000-0005-0000-0000-000059000000}"/>
    <cellStyle name="40% - Ênfase3 2" xfId="98" xr:uid="{00000000-0005-0000-0000-00005A000000}"/>
    <cellStyle name="40% - Ênfase3 2 2" xfId="99" xr:uid="{00000000-0005-0000-0000-00005B000000}"/>
    <cellStyle name="40% - Ênfase3 2 3" xfId="100" xr:uid="{00000000-0005-0000-0000-00005C000000}"/>
    <cellStyle name="40% - Ênfase4 2" xfId="101" xr:uid="{00000000-0005-0000-0000-00005D000000}"/>
    <cellStyle name="40% - Ênfase4 2 2" xfId="102" xr:uid="{00000000-0005-0000-0000-00005E000000}"/>
    <cellStyle name="40% - Ênfase4 2 3" xfId="103" xr:uid="{00000000-0005-0000-0000-00005F000000}"/>
    <cellStyle name="40% - Ênfase5 2" xfId="104" xr:uid="{00000000-0005-0000-0000-000060000000}"/>
    <cellStyle name="40% - Ênfase5 2 2" xfId="105" xr:uid="{00000000-0005-0000-0000-000061000000}"/>
    <cellStyle name="40% - Ênfase5 2 3" xfId="106" xr:uid="{00000000-0005-0000-0000-000062000000}"/>
    <cellStyle name="40% - Ênfase6 2" xfId="107" xr:uid="{00000000-0005-0000-0000-000063000000}"/>
    <cellStyle name="40% - Ênfase6 2 2" xfId="108" xr:uid="{00000000-0005-0000-0000-000064000000}"/>
    <cellStyle name="40% - Ênfase6 2 3" xfId="109" xr:uid="{00000000-0005-0000-0000-000065000000}"/>
    <cellStyle name="60% - Accent1" xfId="110" xr:uid="{00000000-0005-0000-0000-000066000000}"/>
    <cellStyle name="60% - Accent1 2" xfId="111" xr:uid="{00000000-0005-0000-0000-000067000000}"/>
    <cellStyle name="60% - Accent2" xfId="112" xr:uid="{00000000-0005-0000-0000-000068000000}"/>
    <cellStyle name="60% - Accent2 2" xfId="113" xr:uid="{00000000-0005-0000-0000-000069000000}"/>
    <cellStyle name="60% - Accent3" xfId="114" xr:uid="{00000000-0005-0000-0000-00006A000000}"/>
    <cellStyle name="60% - Accent3 2" xfId="115" xr:uid="{00000000-0005-0000-0000-00006B000000}"/>
    <cellStyle name="60% - Accent4" xfId="116" xr:uid="{00000000-0005-0000-0000-00006C000000}"/>
    <cellStyle name="60% - Accent4 2" xfId="117" xr:uid="{00000000-0005-0000-0000-00006D000000}"/>
    <cellStyle name="60% - Accent5" xfId="118" xr:uid="{00000000-0005-0000-0000-00006E000000}"/>
    <cellStyle name="60% - Accent5 2" xfId="119" xr:uid="{00000000-0005-0000-0000-00006F000000}"/>
    <cellStyle name="60% - Accent6" xfId="120" xr:uid="{00000000-0005-0000-0000-000070000000}"/>
    <cellStyle name="60% - Accent6 2" xfId="121" xr:uid="{00000000-0005-0000-0000-000071000000}"/>
    <cellStyle name="60% - Ênfase1 2" xfId="122" xr:uid="{00000000-0005-0000-0000-000072000000}"/>
    <cellStyle name="60% - Ênfase2 2" xfId="123" xr:uid="{00000000-0005-0000-0000-000073000000}"/>
    <cellStyle name="60% - Ênfase3 2" xfId="124" xr:uid="{00000000-0005-0000-0000-000074000000}"/>
    <cellStyle name="60% - Ênfase4 2" xfId="125" xr:uid="{00000000-0005-0000-0000-000075000000}"/>
    <cellStyle name="60% - Ênfase5 2" xfId="126" xr:uid="{00000000-0005-0000-0000-000076000000}"/>
    <cellStyle name="60% - Ênfase6 2" xfId="127" xr:uid="{00000000-0005-0000-0000-000077000000}"/>
    <cellStyle name="Accent1" xfId="128" xr:uid="{00000000-0005-0000-0000-000078000000}"/>
    <cellStyle name="Accent1 2" xfId="129" xr:uid="{00000000-0005-0000-0000-000079000000}"/>
    <cellStyle name="Accent2" xfId="130" xr:uid="{00000000-0005-0000-0000-00007A000000}"/>
    <cellStyle name="Accent2 2" xfId="131" xr:uid="{00000000-0005-0000-0000-00007B000000}"/>
    <cellStyle name="Accent3" xfId="132" xr:uid="{00000000-0005-0000-0000-00007C000000}"/>
    <cellStyle name="Accent3 2" xfId="133" xr:uid="{00000000-0005-0000-0000-00007D000000}"/>
    <cellStyle name="Accent4" xfId="134" xr:uid="{00000000-0005-0000-0000-00007E000000}"/>
    <cellStyle name="Accent4 2" xfId="135" xr:uid="{00000000-0005-0000-0000-00007F000000}"/>
    <cellStyle name="Accent5" xfId="136" xr:uid="{00000000-0005-0000-0000-000080000000}"/>
    <cellStyle name="Accent6" xfId="137" xr:uid="{00000000-0005-0000-0000-000081000000}"/>
    <cellStyle name="Accent6 2" xfId="138" xr:uid="{00000000-0005-0000-0000-000082000000}"/>
    <cellStyle name="Bad" xfId="139" xr:uid="{00000000-0005-0000-0000-000083000000}"/>
    <cellStyle name="Bad 2" xfId="140" xr:uid="{00000000-0005-0000-0000-000084000000}"/>
    <cellStyle name="Bom 2" xfId="141" xr:uid="{00000000-0005-0000-0000-000085000000}"/>
    <cellStyle name="Calculation" xfId="142" xr:uid="{00000000-0005-0000-0000-000086000000}"/>
    <cellStyle name="Calculation 2" xfId="143" xr:uid="{00000000-0005-0000-0000-000087000000}"/>
    <cellStyle name="Cálculo 2" xfId="144" xr:uid="{00000000-0005-0000-0000-000088000000}"/>
    <cellStyle name="Célula de Verificação 2" xfId="145" xr:uid="{00000000-0005-0000-0000-000089000000}"/>
    <cellStyle name="Célula Vinculada 2" xfId="146" xr:uid="{00000000-0005-0000-0000-00008A000000}"/>
    <cellStyle name="Check Cell" xfId="147" xr:uid="{00000000-0005-0000-0000-00008B000000}"/>
    <cellStyle name="Comma [0]" xfId="148" xr:uid="{00000000-0005-0000-0000-00008C000000}"/>
    <cellStyle name="Currency [0]" xfId="149" xr:uid="{00000000-0005-0000-0000-00008D000000}"/>
    <cellStyle name="Data" xfId="150" xr:uid="{00000000-0005-0000-0000-00008E000000}"/>
    <cellStyle name="Ênfase1 2" xfId="151" xr:uid="{00000000-0005-0000-0000-00008F000000}"/>
    <cellStyle name="Ênfase2 2" xfId="152" xr:uid="{00000000-0005-0000-0000-000090000000}"/>
    <cellStyle name="Ênfase3 2" xfId="153" xr:uid="{00000000-0005-0000-0000-000091000000}"/>
    <cellStyle name="Ênfase4 2" xfId="154" xr:uid="{00000000-0005-0000-0000-000092000000}"/>
    <cellStyle name="Ênfase5 2" xfId="155" xr:uid="{00000000-0005-0000-0000-000093000000}"/>
    <cellStyle name="Ênfase6 2" xfId="156" xr:uid="{00000000-0005-0000-0000-000094000000}"/>
    <cellStyle name="Entrada 2" xfId="157" xr:uid="{00000000-0005-0000-0000-000095000000}"/>
    <cellStyle name="Estilo 1" xfId="158" xr:uid="{00000000-0005-0000-0000-000096000000}"/>
    <cellStyle name="Euro" xfId="159" xr:uid="{00000000-0005-0000-0000-000097000000}"/>
    <cellStyle name="Excel Built-in Normal" xfId="160" xr:uid="{00000000-0005-0000-0000-000098000000}"/>
    <cellStyle name="Explanatory Text" xfId="161" xr:uid="{00000000-0005-0000-0000-000099000000}"/>
    <cellStyle name="Fixa" xfId="162" xr:uid="{00000000-0005-0000-0000-00009A000000}"/>
    <cellStyle name="Fixo" xfId="163" xr:uid="{00000000-0005-0000-0000-00009B000000}"/>
    <cellStyle name="Good" xfId="164" xr:uid="{00000000-0005-0000-0000-00009C000000}"/>
    <cellStyle name="Good 2" xfId="165" xr:uid="{00000000-0005-0000-0000-00009D000000}"/>
    <cellStyle name="Heading 1" xfId="166" xr:uid="{00000000-0005-0000-0000-00009E000000}"/>
    <cellStyle name="Heading 1 2" xfId="167" xr:uid="{00000000-0005-0000-0000-00009F000000}"/>
    <cellStyle name="Heading 2" xfId="168" xr:uid="{00000000-0005-0000-0000-0000A0000000}"/>
    <cellStyle name="Heading 2 2" xfId="169" xr:uid="{00000000-0005-0000-0000-0000A1000000}"/>
    <cellStyle name="Heading 3" xfId="170" xr:uid="{00000000-0005-0000-0000-0000A2000000}"/>
    <cellStyle name="Heading 3 2" xfId="171" xr:uid="{00000000-0005-0000-0000-0000A3000000}"/>
    <cellStyle name="Heading 4" xfId="172" xr:uid="{00000000-0005-0000-0000-0000A4000000}"/>
    <cellStyle name="Heading 4 2" xfId="173" xr:uid="{00000000-0005-0000-0000-0000A5000000}"/>
    <cellStyle name="Incorreto 2" xfId="174" xr:uid="{00000000-0005-0000-0000-0000A6000000}"/>
    <cellStyle name="Input" xfId="175" xr:uid="{00000000-0005-0000-0000-0000A7000000}"/>
    <cellStyle name="Input 2" xfId="176" xr:uid="{00000000-0005-0000-0000-0000A8000000}"/>
    <cellStyle name="Linked Cell" xfId="177" xr:uid="{00000000-0005-0000-0000-0000A9000000}"/>
    <cellStyle name="Linked Cell 2" xfId="178" xr:uid="{00000000-0005-0000-0000-0000AA000000}"/>
    <cellStyle name="Moeda" xfId="1" builtinId="4"/>
    <cellStyle name="Moeda 2" xfId="179" xr:uid="{00000000-0005-0000-0000-0000AC000000}"/>
    <cellStyle name="Moeda 2 2" xfId="180" xr:uid="{00000000-0005-0000-0000-0000AD000000}"/>
    <cellStyle name="Moeda 3" xfId="181" xr:uid="{00000000-0005-0000-0000-0000AE000000}"/>
    <cellStyle name="Moeda 3 2" xfId="182" xr:uid="{00000000-0005-0000-0000-0000AF000000}"/>
    <cellStyle name="Moeda 3 2 2" xfId="183" xr:uid="{00000000-0005-0000-0000-0000B0000000}"/>
    <cellStyle name="Moeda 3 2 3" xfId="184" xr:uid="{00000000-0005-0000-0000-0000B1000000}"/>
    <cellStyle name="Moeda 4" xfId="185" xr:uid="{00000000-0005-0000-0000-0000B2000000}"/>
    <cellStyle name="Moeda 4 2" xfId="186" xr:uid="{00000000-0005-0000-0000-0000B3000000}"/>
    <cellStyle name="Moeda 4 3" xfId="187" xr:uid="{00000000-0005-0000-0000-0000B4000000}"/>
    <cellStyle name="Moeda 5" xfId="188" xr:uid="{00000000-0005-0000-0000-0000B5000000}"/>
    <cellStyle name="Moeda0" xfId="189" xr:uid="{00000000-0005-0000-0000-0000B6000000}"/>
    <cellStyle name="Neutra 2" xfId="190" xr:uid="{00000000-0005-0000-0000-0000B7000000}"/>
    <cellStyle name="Neutral" xfId="191" xr:uid="{00000000-0005-0000-0000-0000B8000000}"/>
    <cellStyle name="Neutral 2" xfId="192" xr:uid="{00000000-0005-0000-0000-0000B9000000}"/>
    <cellStyle name="Normal" xfId="0" builtinId="0"/>
    <cellStyle name="Normal 10" xfId="193" xr:uid="{00000000-0005-0000-0000-0000BB000000}"/>
    <cellStyle name="Normal 10 2" xfId="194" xr:uid="{00000000-0005-0000-0000-0000BC000000}"/>
    <cellStyle name="Normal 10 2 2" xfId="195" xr:uid="{00000000-0005-0000-0000-0000BD000000}"/>
    <cellStyle name="Normal 10 3" xfId="196" xr:uid="{00000000-0005-0000-0000-0000BE000000}"/>
    <cellStyle name="Normal 100" xfId="197" xr:uid="{00000000-0005-0000-0000-0000BF000000}"/>
    <cellStyle name="Normal 100 2" xfId="198" xr:uid="{00000000-0005-0000-0000-0000C0000000}"/>
    <cellStyle name="Normal 101" xfId="199" xr:uid="{00000000-0005-0000-0000-0000C1000000}"/>
    <cellStyle name="Normal 101 2" xfId="200" xr:uid="{00000000-0005-0000-0000-0000C2000000}"/>
    <cellStyle name="Normal 102" xfId="201" xr:uid="{00000000-0005-0000-0000-0000C3000000}"/>
    <cellStyle name="Normal 102 2" xfId="202" xr:uid="{00000000-0005-0000-0000-0000C4000000}"/>
    <cellStyle name="Normal 103" xfId="203" xr:uid="{00000000-0005-0000-0000-0000C5000000}"/>
    <cellStyle name="Normal 103 2" xfId="204" xr:uid="{00000000-0005-0000-0000-0000C6000000}"/>
    <cellStyle name="Normal 104" xfId="205" xr:uid="{00000000-0005-0000-0000-0000C7000000}"/>
    <cellStyle name="Normal 104 2" xfId="206" xr:uid="{00000000-0005-0000-0000-0000C8000000}"/>
    <cellStyle name="Normal 105" xfId="207" xr:uid="{00000000-0005-0000-0000-0000C9000000}"/>
    <cellStyle name="Normal 105 2" xfId="208" xr:uid="{00000000-0005-0000-0000-0000CA000000}"/>
    <cellStyle name="Normal 106" xfId="209" xr:uid="{00000000-0005-0000-0000-0000CB000000}"/>
    <cellStyle name="Normal 106 2" xfId="210" xr:uid="{00000000-0005-0000-0000-0000CC000000}"/>
    <cellStyle name="Normal 107" xfId="211" xr:uid="{00000000-0005-0000-0000-0000CD000000}"/>
    <cellStyle name="Normal 107 2" xfId="212" xr:uid="{00000000-0005-0000-0000-0000CE000000}"/>
    <cellStyle name="Normal 108" xfId="213" xr:uid="{00000000-0005-0000-0000-0000CF000000}"/>
    <cellStyle name="Normal 108 2" xfId="214" xr:uid="{00000000-0005-0000-0000-0000D0000000}"/>
    <cellStyle name="Normal 109" xfId="215" xr:uid="{00000000-0005-0000-0000-0000D1000000}"/>
    <cellStyle name="Normal 109 2" xfId="216" xr:uid="{00000000-0005-0000-0000-0000D2000000}"/>
    <cellStyle name="Normal 11" xfId="217" xr:uid="{00000000-0005-0000-0000-0000D3000000}"/>
    <cellStyle name="Normal 11 2" xfId="218" xr:uid="{00000000-0005-0000-0000-0000D4000000}"/>
    <cellStyle name="Normal 110" xfId="219" xr:uid="{00000000-0005-0000-0000-0000D5000000}"/>
    <cellStyle name="Normal 110 2" xfId="220" xr:uid="{00000000-0005-0000-0000-0000D6000000}"/>
    <cellStyle name="Normal 111" xfId="221" xr:uid="{00000000-0005-0000-0000-0000D7000000}"/>
    <cellStyle name="Normal 111 2" xfId="222" xr:uid="{00000000-0005-0000-0000-0000D8000000}"/>
    <cellStyle name="Normal 112" xfId="223" xr:uid="{00000000-0005-0000-0000-0000D9000000}"/>
    <cellStyle name="Normal 112 2" xfId="224" xr:uid="{00000000-0005-0000-0000-0000DA000000}"/>
    <cellStyle name="Normal 113" xfId="225" xr:uid="{00000000-0005-0000-0000-0000DB000000}"/>
    <cellStyle name="Normal 113 2" xfId="226" xr:uid="{00000000-0005-0000-0000-0000DC000000}"/>
    <cellStyle name="Normal 114" xfId="227" xr:uid="{00000000-0005-0000-0000-0000DD000000}"/>
    <cellStyle name="Normal 114 2" xfId="228" xr:uid="{00000000-0005-0000-0000-0000DE000000}"/>
    <cellStyle name="Normal 115" xfId="229" xr:uid="{00000000-0005-0000-0000-0000DF000000}"/>
    <cellStyle name="Normal 115 2" xfId="230" xr:uid="{00000000-0005-0000-0000-0000E0000000}"/>
    <cellStyle name="Normal 116" xfId="231" xr:uid="{00000000-0005-0000-0000-0000E1000000}"/>
    <cellStyle name="Normal 116 2" xfId="232" xr:uid="{00000000-0005-0000-0000-0000E2000000}"/>
    <cellStyle name="Normal 117" xfId="233" xr:uid="{00000000-0005-0000-0000-0000E3000000}"/>
    <cellStyle name="Normal 117 2" xfId="234" xr:uid="{00000000-0005-0000-0000-0000E4000000}"/>
    <cellStyle name="Normal 118" xfId="235" xr:uid="{00000000-0005-0000-0000-0000E5000000}"/>
    <cellStyle name="Normal 119" xfId="236" xr:uid="{00000000-0005-0000-0000-0000E6000000}"/>
    <cellStyle name="Normal 12" xfId="237" xr:uid="{00000000-0005-0000-0000-0000E7000000}"/>
    <cellStyle name="Normal 12 2" xfId="238" xr:uid="{00000000-0005-0000-0000-0000E8000000}"/>
    <cellStyle name="Normal 12 2 2" xfId="239" xr:uid="{00000000-0005-0000-0000-0000E9000000}"/>
    <cellStyle name="Normal 12 3" xfId="240" xr:uid="{00000000-0005-0000-0000-0000EA000000}"/>
    <cellStyle name="Normal 13" xfId="241" xr:uid="{00000000-0005-0000-0000-0000EB000000}"/>
    <cellStyle name="Normal 13 2" xfId="242" xr:uid="{00000000-0005-0000-0000-0000EC000000}"/>
    <cellStyle name="Normal 14" xfId="243" xr:uid="{00000000-0005-0000-0000-0000ED000000}"/>
    <cellStyle name="Normal 14 2" xfId="244" xr:uid="{00000000-0005-0000-0000-0000EE000000}"/>
    <cellStyle name="Normal 15" xfId="245" xr:uid="{00000000-0005-0000-0000-0000EF000000}"/>
    <cellStyle name="Normal 15 2" xfId="246" xr:uid="{00000000-0005-0000-0000-0000F0000000}"/>
    <cellStyle name="Normal 16" xfId="247" xr:uid="{00000000-0005-0000-0000-0000F1000000}"/>
    <cellStyle name="Normal 16 2" xfId="248" xr:uid="{00000000-0005-0000-0000-0000F2000000}"/>
    <cellStyle name="Normal 16 2 2" xfId="249" xr:uid="{00000000-0005-0000-0000-0000F3000000}"/>
    <cellStyle name="Normal 16 3" xfId="250" xr:uid="{00000000-0005-0000-0000-0000F4000000}"/>
    <cellStyle name="Normal 17" xfId="251" xr:uid="{00000000-0005-0000-0000-0000F5000000}"/>
    <cellStyle name="Normal 17 2" xfId="252" xr:uid="{00000000-0005-0000-0000-0000F6000000}"/>
    <cellStyle name="Normal 18" xfId="253" xr:uid="{00000000-0005-0000-0000-0000F7000000}"/>
    <cellStyle name="Normal 18 2" xfId="254" xr:uid="{00000000-0005-0000-0000-0000F8000000}"/>
    <cellStyle name="Normal 19" xfId="255" xr:uid="{00000000-0005-0000-0000-0000F9000000}"/>
    <cellStyle name="Normal 19 2" xfId="256" xr:uid="{00000000-0005-0000-0000-0000FA000000}"/>
    <cellStyle name="Normal 2" xfId="5" xr:uid="{00000000-0005-0000-0000-0000FB000000}"/>
    <cellStyle name="Normal 2 2" xfId="257" xr:uid="{00000000-0005-0000-0000-0000FC000000}"/>
    <cellStyle name="Normal 2 2 2" xfId="258" xr:uid="{00000000-0005-0000-0000-0000FD000000}"/>
    <cellStyle name="Normal 2 3" xfId="259" xr:uid="{00000000-0005-0000-0000-0000FE000000}"/>
    <cellStyle name="Normal 2 4" xfId="260" xr:uid="{00000000-0005-0000-0000-0000FF000000}"/>
    <cellStyle name="Normal 20" xfId="261" xr:uid="{00000000-0005-0000-0000-000000010000}"/>
    <cellStyle name="Normal 20 2" xfId="262" xr:uid="{00000000-0005-0000-0000-000001010000}"/>
    <cellStyle name="Normal 21" xfId="263" xr:uid="{00000000-0005-0000-0000-000002010000}"/>
    <cellStyle name="Normal 21 2" xfId="264" xr:uid="{00000000-0005-0000-0000-000003010000}"/>
    <cellStyle name="Normal 22" xfId="265" xr:uid="{00000000-0005-0000-0000-000004010000}"/>
    <cellStyle name="Normal 22 2" xfId="266" xr:uid="{00000000-0005-0000-0000-000005010000}"/>
    <cellStyle name="Normal 23" xfId="267" xr:uid="{00000000-0005-0000-0000-000006010000}"/>
    <cellStyle name="Normal 23 2" xfId="268" xr:uid="{00000000-0005-0000-0000-000007010000}"/>
    <cellStyle name="Normal 24" xfId="269" xr:uid="{00000000-0005-0000-0000-000008010000}"/>
    <cellStyle name="Normal 24 2" xfId="270" xr:uid="{00000000-0005-0000-0000-000009010000}"/>
    <cellStyle name="Normal 25" xfId="271" xr:uid="{00000000-0005-0000-0000-00000A010000}"/>
    <cellStyle name="Normal 25 2" xfId="272" xr:uid="{00000000-0005-0000-0000-00000B010000}"/>
    <cellStyle name="Normal 26" xfId="273" xr:uid="{00000000-0005-0000-0000-00000C010000}"/>
    <cellStyle name="Normal 26 2" xfId="274" xr:uid="{00000000-0005-0000-0000-00000D010000}"/>
    <cellStyle name="Normal 26 3" xfId="275" xr:uid="{00000000-0005-0000-0000-00000E010000}"/>
    <cellStyle name="Normal 27" xfId="276" xr:uid="{00000000-0005-0000-0000-00000F010000}"/>
    <cellStyle name="Normal 27 2" xfId="277" xr:uid="{00000000-0005-0000-0000-000010010000}"/>
    <cellStyle name="Normal 28" xfId="278" xr:uid="{00000000-0005-0000-0000-000011010000}"/>
    <cellStyle name="Normal 28 2" xfId="279" xr:uid="{00000000-0005-0000-0000-000012010000}"/>
    <cellStyle name="Normal 29" xfId="280" xr:uid="{00000000-0005-0000-0000-000013010000}"/>
    <cellStyle name="Normal 29 2" xfId="281" xr:uid="{00000000-0005-0000-0000-000014010000}"/>
    <cellStyle name="Normal 3" xfId="2" xr:uid="{00000000-0005-0000-0000-000015010000}"/>
    <cellStyle name="Normal 3 2" xfId="282" xr:uid="{00000000-0005-0000-0000-000016010000}"/>
    <cellStyle name="Normal 3 2 2" xfId="283" xr:uid="{00000000-0005-0000-0000-000017010000}"/>
    <cellStyle name="Normal 3 3" xfId="284" xr:uid="{00000000-0005-0000-0000-000018010000}"/>
    <cellStyle name="Normal 3 4" xfId="285" xr:uid="{00000000-0005-0000-0000-000019010000}"/>
    <cellStyle name="Normal 3 8" xfId="286" xr:uid="{00000000-0005-0000-0000-00001A010000}"/>
    <cellStyle name="Normal 3 9" xfId="287" xr:uid="{00000000-0005-0000-0000-00001B010000}"/>
    <cellStyle name="Normal 30" xfId="288" xr:uid="{00000000-0005-0000-0000-00001C010000}"/>
    <cellStyle name="Normal 30 2" xfId="289" xr:uid="{00000000-0005-0000-0000-00001D010000}"/>
    <cellStyle name="Normal 31" xfId="290" xr:uid="{00000000-0005-0000-0000-00001E010000}"/>
    <cellStyle name="Normal 31 2" xfId="291" xr:uid="{00000000-0005-0000-0000-00001F010000}"/>
    <cellStyle name="Normal 32" xfId="292" xr:uid="{00000000-0005-0000-0000-000020010000}"/>
    <cellStyle name="Normal 32 2" xfId="293" xr:uid="{00000000-0005-0000-0000-000021010000}"/>
    <cellStyle name="Normal 33" xfId="294" xr:uid="{00000000-0005-0000-0000-000022010000}"/>
    <cellStyle name="Normal 33 2" xfId="295" xr:uid="{00000000-0005-0000-0000-000023010000}"/>
    <cellStyle name="Normal 33 2 2" xfId="296" xr:uid="{00000000-0005-0000-0000-000024010000}"/>
    <cellStyle name="Normal 33 3" xfId="297" xr:uid="{00000000-0005-0000-0000-000025010000}"/>
    <cellStyle name="Normal 34" xfId="298" xr:uid="{00000000-0005-0000-0000-000026010000}"/>
    <cellStyle name="Normal 34 2" xfId="299" xr:uid="{00000000-0005-0000-0000-000027010000}"/>
    <cellStyle name="Normal 34 2 2" xfId="300" xr:uid="{00000000-0005-0000-0000-000028010000}"/>
    <cellStyle name="Normal 34 3" xfId="301" xr:uid="{00000000-0005-0000-0000-000029010000}"/>
    <cellStyle name="Normal 35" xfId="302" xr:uid="{00000000-0005-0000-0000-00002A010000}"/>
    <cellStyle name="Normal 35 2" xfId="303" xr:uid="{00000000-0005-0000-0000-00002B010000}"/>
    <cellStyle name="Normal 36" xfId="304" xr:uid="{00000000-0005-0000-0000-00002C010000}"/>
    <cellStyle name="Normal 36 2" xfId="305" xr:uid="{00000000-0005-0000-0000-00002D010000}"/>
    <cellStyle name="Normal 36 2 2" xfId="306" xr:uid="{00000000-0005-0000-0000-00002E010000}"/>
    <cellStyle name="Normal 36 3" xfId="307" xr:uid="{00000000-0005-0000-0000-00002F010000}"/>
    <cellStyle name="Normal 37" xfId="308" xr:uid="{00000000-0005-0000-0000-000030010000}"/>
    <cellStyle name="Normal 37 2" xfId="309" xr:uid="{00000000-0005-0000-0000-000031010000}"/>
    <cellStyle name="Normal 38" xfId="310" xr:uid="{00000000-0005-0000-0000-000032010000}"/>
    <cellStyle name="Normal 38 2" xfId="311" xr:uid="{00000000-0005-0000-0000-000033010000}"/>
    <cellStyle name="Normal 38 2 2" xfId="312" xr:uid="{00000000-0005-0000-0000-000034010000}"/>
    <cellStyle name="Normal 38 3" xfId="313" xr:uid="{00000000-0005-0000-0000-000035010000}"/>
    <cellStyle name="Normal 39" xfId="314" xr:uid="{00000000-0005-0000-0000-000036010000}"/>
    <cellStyle name="Normal 39 2" xfId="315" xr:uid="{00000000-0005-0000-0000-000037010000}"/>
    <cellStyle name="Normal 4" xfId="316" xr:uid="{00000000-0005-0000-0000-000038010000}"/>
    <cellStyle name="Normal 4 2" xfId="317" xr:uid="{00000000-0005-0000-0000-000039010000}"/>
    <cellStyle name="Normal 4 3" xfId="318" xr:uid="{00000000-0005-0000-0000-00003A010000}"/>
    <cellStyle name="Normal 4 4" xfId="319" xr:uid="{00000000-0005-0000-0000-00003B010000}"/>
    <cellStyle name="Normal 40" xfId="320" xr:uid="{00000000-0005-0000-0000-00003C010000}"/>
    <cellStyle name="Normal 40 2" xfId="321" xr:uid="{00000000-0005-0000-0000-00003D010000}"/>
    <cellStyle name="Normal 40 2 2" xfId="322" xr:uid="{00000000-0005-0000-0000-00003E010000}"/>
    <cellStyle name="Normal 40 3" xfId="323" xr:uid="{00000000-0005-0000-0000-00003F010000}"/>
    <cellStyle name="Normal 41" xfId="324" xr:uid="{00000000-0005-0000-0000-000040010000}"/>
    <cellStyle name="Normal 41 2" xfId="325" xr:uid="{00000000-0005-0000-0000-000041010000}"/>
    <cellStyle name="Normal 41 2 2" xfId="326" xr:uid="{00000000-0005-0000-0000-000042010000}"/>
    <cellStyle name="Normal 41 3" xfId="327" xr:uid="{00000000-0005-0000-0000-000043010000}"/>
    <cellStyle name="Normal 42" xfId="328" xr:uid="{00000000-0005-0000-0000-000044010000}"/>
    <cellStyle name="Normal 42 2" xfId="329" xr:uid="{00000000-0005-0000-0000-000045010000}"/>
    <cellStyle name="Normal 42 2 2" xfId="330" xr:uid="{00000000-0005-0000-0000-000046010000}"/>
    <cellStyle name="Normal 42 3" xfId="331" xr:uid="{00000000-0005-0000-0000-000047010000}"/>
    <cellStyle name="Normal 43" xfId="332" xr:uid="{00000000-0005-0000-0000-000048010000}"/>
    <cellStyle name="Normal 43 2" xfId="333" xr:uid="{00000000-0005-0000-0000-000049010000}"/>
    <cellStyle name="Normal 44" xfId="334" xr:uid="{00000000-0005-0000-0000-00004A010000}"/>
    <cellStyle name="Normal 44 2" xfId="335" xr:uid="{00000000-0005-0000-0000-00004B010000}"/>
    <cellStyle name="Normal 45" xfId="336" xr:uid="{00000000-0005-0000-0000-00004C010000}"/>
    <cellStyle name="Normal 45 2" xfId="337" xr:uid="{00000000-0005-0000-0000-00004D010000}"/>
    <cellStyle name="Normal 46" xfId="338" xr:uid="{00000000-0005-0000-0000-00004E010000}"/>
    <cellStyle name="Normal 46 2" xfId="339" xr:uid="{00000000-0005-0000-0000-00004F010000}"/>
    <cellStyle name="Normal 47" xfId="340" xr:uid="{00000000-0005-0000-0000-000050010000}"/>
    <cellStyle name="Normal 47 2" xfId="341" xr:uid="{00000000-0005-0000-0000-000051010000}"/>
    <cellStyle name="Normal 48" xfId="342" xr:uid="{00000000-0005-0000-0000-000052010000}"/>
    <cellStyle name="Normal 48 2" xfId="343" xr:uid="{00000000-0005-0000-0000-000053010000}"/>
    <cellStyle name="Normal 49" xfId="344" xr:uid="{00000000-0005-0000-0000-000054010000}"/>
    <cellStyle name="Normal 49 2" xfId="345" xr:uid="{00000000-0005-0000-0000-000055010000}"/>
    <cellStyle name="Normal 5" xfId="346" xr:uid="{00000000-0005-0000-0000-000056010000}"/>
    <cellStyle name="Normal 5 2" xfId="347" xr:uid="{00000000-0005-0000-0000-000057010000}"/>
    <cellStyle name="Normal 5 2 2" xfId="348" xr:uid="{00000000-0005-0000-0000-000058010000}"/>
    <cellStyle name="Normal 5 2 3" xfId="349" xr:uid="{00000000-0005-0000-0000-000059010000}"/>
    <cellStyle name="Normal 5 3" xfId="350" xr:uid="{00000000-0005-0000-0000-00005A010000}"/>
    <cellStyle name="Normal 50" xfId="351" xr:uid="{00000000-0005-0000-0000-00005B010000}"/>
    <cellStyle name="Normal 50 2" xfId="352" xr:uid="{00000000-0005-0000-0000-00005C010000}"/>
    <cellStyle name="Normal 51" xfId="353" xr:uid="{00000000-0005-0000-0000-00005D010000}"/>
    <cellStyle name="Normal 51 2" xfId="354" xr:uid="{00000000-0005-0000-0000-00005E010000}"/>
    <cellStyle name="Normal 52" xfId="355" xr:uid="{00000000-0005-0000-0000-00005F010000}"/>
    <cellStyle name="Normal 52 2" xfId="356" xr:uid="{00000000-0005-0000-0000-000060010000}"/>
    <cellStyle name="Normal 53" xfId="357" xr:uid="{00000000-0005-0000-0000-000061010000}"/>
    <cellStyle name="Normal 53 2" xfId="358" xr:uid="{00000000-0005-0000-0000-000062010000}"/>
    <cellStyle name="Normal 54" xfId="359" xr:uid="{00000000-0005-0000-0000-000063010000}"/>
    <cellStyle name="Normal 54 2" xfId="360" xr:uid="{00000000-0005-0000-0000-000064010000}"/>
    <cellStyle name="Normal 55" xfId="361" xr:uid="{00000000-0005-0000-0000-000065010000}"/>
    <cellStyle name="Normal 55 2" xfId="362" xr:uid="{00000000-0005-0000-0000-000066010000}"/>
    <cellStyle name="Normal 56" xfId="363" xr:uid="{00000000-0005-0000-0000-000067010000}"/>
    <cellStyle name="Normal 56 2" xfId="364" xr:uid="{00000000-0005-0000-0000-000068010000}"/>
    <cellStyle name="Normal 57" xfId="365" xr:uid="{00000000-0005-0000-0000-000069010000}"/>
    <cellStyle name="Normal 57 2" xfId="366" xr:uid="{00000000-0005-0000-0000-00006A010000}"/>
    <cellStyle name="Normal 58" xfId="367" xr:uid="{00000000-0005-0000-0000-00006B010000}"/>
    <cellStyle name="Normal 58 2" xfId="368" xr:uid="{00000000-0005-0000-0000-00006C010000}"/>
    <cellStyle name="Normal 59" xfId="369" xr:uid="{00000000-0005-0000-0000-00006D010000}"/>
    <cellStyle name="Normal 59 2" xfId="370" xr:uid="{00000000-0005-0000-0000-00006E010000}"/>
    <cellStyle name="Normal 6" xfId="371" xr:uid="{00000000-0005-0000-0000-00006F010000}"/>
    <cellStyle name="Normal 6 2" xfId="372" xr:uid="{00000000-0005-0000-0000-000070010000}"/>
    <cellStyle name="Normal 6 2 2" xfId="373" xr:uid="{00000000-0005-0000-0000-000071010000}"/>
    <cellStyle name="Normal 6 3" xfId="374" xr:uid="{00000000-0005-0000-0000-000072010000}"/>
    <cellStyle name="Normal 60" xfId="375" xr:uid="{00000000-0005-0000-0000-000073010000}"/>
    <cellStyle name="Normal 60 2" xfId="376" xr:uid="{00000000-0005-0000-0000-000074010000}"/>
    <cellStyle name="Normal 61" xfId="377" xr:uid="{00000000-0005-0000-0000-000075010000}"/>
    <cellStyle name="Normal 61 2" xfId="378" xr:uid="{00000000-0005-0000-0000-000076010000}"/>
    <cellStyle name="Normal 62" xfId="379" xr:uid="{00000000-0005-0000-0000-000077010000}"/>
    <cellStyle name="Normal 62 2" xfId="380" xr:uid="{00000000-0005-0000-0000-000078010000}"/>
    <cellStyle name="Normal 63" xfId="381" xr:uid="{00000000-0005-0000-0000-000079010000}"/>
    <cellStyle name="Normal 63 2" xfId="382" xr:uid="{00000000-0005-0000-0000-00007A010000}"/>
    <cellStyle name="Normal 64" xfId="383" xr:uid="{00000000-0005-0000-0000-00007B010000}"/>
    <cellStyle name="Normal 64 2" xfId="384" xr:uid="{00000000-0005-0000-0000-00007C010000}"/>
    <cellStyle name="Normal 65" xfId="385" xr:uid="{00000000-0005-0000-0000-00007D010000}"/>
    <cellStyle name="Normal 65 2" xfId="386" xr:uid="{00000000-0005-0000-0000-00007E010000}"/>
    <cellStyle name="Normal 66" xfId="387" xr:uid="{00000000-0005-0000-0000-00007F010000}"/>
    <cellStyle name="Normal 66 2" xfId="388" xr:uid="{00000000-0005-0000-0000-000080010000}"/>
    <cellStyle name="Normal 67" xfId="389" xr:uid="{00000000-0005-0000-0000-000081010000}"/>
    <cellStyle name="Normal 67 2" xfId="390" xr:uid="{00000000-0005-0000-0000-000082010000}"/>
    <cellStyle name="Normal 68" xfId="391" xr:uid="{00000000-0005-0000-0000-000083010000}"/>
    <cellStyle name="Normal 68 2" xfId="392" xr:uid="{00000000-0005-0000-0000-000084010000}"/>
    <cellStyle name="Normal 69" xfId="393" xr:uid="{00000000-0005-0000-0000-000085010000}"/>
    <cellStyle name="Normal 69 2" xfId="394" xr:uid="{00000000-0005-0000-0000-000086010000}"/>
    <cellStyle name="Normal 7" xfId="395" xr:uid="{00000000-0005-0000-0000-000087010000}"/>
    <cellStyle name="Normal 7 2" xfId="396" xr:uid="{00000000-0005-0000-0000-000088010000}"/>
    <cellStyle name="Normal 7 2 2" xfId="397" xr:uid="{00000000-0005-0000-0000-000089010000}"/>
    <cellStyle name="Normal 7 3" xfId="398" xr:uid="{00000000-0005-0000-0000-00008A010000}"/>
    <cellStyle name="Normal 7 4" xfId="399" xr:uid="{00000000-0005-0000-0000-00008B010000}"/>
    <cellStyle name="Normal 70" xfId="400" xr:uid="{00000000-0005-0000-0000-00008C010000}"/>
    <cellStyle name="Normal 70 2" xfId="401" xr:uid="{00000000-0005-0000-0000-00008D010000}"/>
    <cellStyle name="Normal 71" xfId="402" xr:uid="{00000000-0005-0000-0000-00008E010000}"/>
    <cellStyle name="Normal 71 2" xfId="403" xr:uid="{00000000-0005-0000-0000-00008F010000}"/>
    <cellStyle name="Normal 72" xfId="404" xr:uid="{00000000-0005-0000-0000-000090010000}"/>
    <cellStyle name="Normal 72 2" xfId="405" xr:uid="{00000000-0005-0000-0000-000091010000}"/>
    <cellStyle name="Normal 73" xfId="406" xr:uid="{00000000-0005-0000-0000-000092010000}"/>
    <cellStyle name="Normal 73 2" xfId="407" xr:uid="{00000000-0005-0000-0000-000093010000}"/>
    <cellStyle name="Normal 74" xfId="408" xr:uid="{00000000-0005-0000-0000-000094010000}"/>
    <cellStyle name="Normal 74 2" xfId="409" xr:uid="{00000000-0005-0000-0000-000095010000}"/>
    <cellStyle name="Normal 75" xfId="410" xr:uid="{00000000-0005-0000-0000-000096010000}"/>
    <cellStyle name="Normal 75 2" xfId="411" xr:uid="{00000000-0005-0000-0000-000097010000}"/>
    <cellStyle name="Normal 76" xfId="412" xr:uid="{00000000-0005-0000-0000-000098010000}"/>
    <cellStyle name="Normal 76 2" xfId="413" xr:uid="{00000000-0005-0000-0000-000099010000}"/>
    <cellStyle name="Normal 77" xfId="414" xr:uid="{00000000-0005-0000-0000-00009A010000}"/>
    <cellStyle name="Normal 77 2" xfId="415" xr:uid="{00000000-0005-0000-0000-00009B010000}"/>
    <cellStyle name="Normal 78" xfId="416" xr:uid="{00000000-0005-0000-0000-00009C010000}"/>
    <cellStyle name="Normal 78 2" xfId="417" xr:uid="{00000000-0005-0000-0000-00009D010000}"/>
    <cellStyle name="Normal 79" xfId="418" xr:uid="{00000000-0005-0000-0000-00009E010000}"/>
    <cellStyle name="Normal 79 2" xfId="419" xr:uid="{00000000-0005-0000-0000-00009F010000}"/>
    <cellStyle name="Normal 8" xfId="420" xr:uid="{00000000-0005-0000-0000-0000A0010000}"/>
    <cellStyle name="Normal 8 2" xfId="421" xr:uid="{00000000-0005-0000-0000-0000A1010000}"/>
    <cellStyle name="Normal 8 3" xfId="422" xr:uid="{00000000-0005-0000-0000-0000A2010000}"/>
    <cellStyle name="Normal 80" xfId="423" xr:uid="{00000000-0005-0000-0000-0000A3010000}"/>
    <cellStyle name="Normal 80 2" xfId="424" xr:uid="{00000000-0005-0000-0000-0000A4010000}"/>
    <cellStyle name="Normal 81" xfId="425" xr:uid="{00000000-0005-0000-0000-0000A5010000}"/>
    <cellStyle name="Normal 81 2" xfId="426" xr:uid="{00000000-0005-0000-0000-0000A6010000}"/>
    <cellStyle name="Normal 82" xfId="427" xr:uid="{00000000-0005-0000-0000-0000A7010000}"/>
    <cellStyle name="Normal 82 2" xfId="428" xr:uid="{00000000-0005-0000-0000-0000A8010000}"/>
    <cellStyle name="Normal 83" xfId="429" xr:uid="{00000000-0005-0000-0000-0000A9010000}"/>
    <cellStyle name="Normal 83 2" xfId="430" xr:uid="{00000000-0005-0000-0000-0000AA010000}"/>
    <cellStyle name="Normal 84" xfId="431" xr:uid="{00000000-0005-0000-0000-0000AB010000}"/>
    <cellStyle name="Normal 84 2" xfId="432" xr:uid="{00000000-0005-0000-0000-0000AC010000}"/>
    <cellStyle name="Normal 85" xfId="433" xr:uid="{00000000-0005-0000-0000-0000AD010000}"/>
    <cellStyle name="Normal 85 2" xfId="434" xr:uid="{00000000-0005-0000-0000-0000AE010000}"/>
    <cellStyle name="Normal 86" xfId="435" xr:uid="{00000000-0005-0000-0000-0000AF010000}"/>
    <cellStyle name="Normal 86 2" xfId="436" xr:uid="{00000000-0005-0000-0000-0000B0010000}"/>
    <cellStyle name="Normal 87" xfId="437" xr:uid="{00000000-0005-0000-0000-0000B1010000}"/>
    <cellStyle name="Normal 87 2" xfId="438" xr:uid="{00000000-0005-0000-0000-0000B2010000}"/>
    <cellStyle name="Normal 88" xfId="439" xr:uid="{00000000-0005-0000-0000-0000B3010000}"/>
    <cellStyle name="Normal 88 2" xfId="440" xr:uid="{00000000-0005-0000-0000-0000B4010000}"/>
    <cellStyle name="Normal 89" xfId="441" xr:uid="{00000000-0005-0000-0000-0000B5010000}"/>
    <cellStyle name="Normal 89 2" xfId="442" xr:uid="{00000000-0005-0000-0000-0000B6010000}"/>
    <cellStyle name="Normal 9" xfId="443" xr:uid="{00000000-0005-0000-0000-0000B7010000}"/>
    <cellStyle name="Normal 9 2" xfId="444" xr:uid="{00000000-0005-0000-0000-0000B8010000}"/>
    <cellStyle name="Normal 9 2 2" xfId="445" xr:uid="{00000000-0005-0000-0000-0000B9010000}"/>
    <cellStyle name="Normal 9 3" xfId="446" xr:uid="{00000000-0005-0000-0000-0000BA010000}"/>
    <cellStyle name="Normal 90" xfId="447" xr:uid="{00000000-0005-0000-0000-0000BB010000}"/>
    <cellStyle name="Normal 90 2" xfId="448" xr:uid="{00000000-0005-0000-0000-0000BC010000}"/>
    <cellStyle name="Normal 91" xfId="449" xr:uid="{00000000-0005-0000-0000-0000BD010000}"/>
    <cellStyle name="Normal 91 2" xfId="450" xr:uid="{00000000-0005-0000-0000-0000BE010000}"/>
    <cellStyle name="Normal 92" xfId="451" xr:uid="{00000000-0005-0000-0000-0000BF010000}"/>
    <cellStyle name="Normal 92 2" xfId="452" xr:uid="{00000000-0005-0000-0000-0000C0010000}"/>
    <cellStyle name="Normal 93" xfId="453" xr:uid="{00000000-0005-0000-0000-0000C1010000}"/>
    <cellStyle name="Normal 93 2" xfId="454" xr:uid="{00000000-0005-0000-0000-0000C2010000}"/>
    <cellStyle name="Normal 94" xfId="455" xr:uid="{00000000-0005-0000-0000-0000C3010000}"/>
    <cellStyle name="Normal 94 2" xfId="456" xr:uid="{00000000-0005-0000-0000-0000C4010000}"/>
    <cellStyle name="Normal 95" xfId="457" xr:uid="{00000000-0005-0000-0000-0000C5010000}"/>
    <cellStyle name="Normal 95 2" xfId="458" xr:uid="{00000000-0005-0000-0000-0000C6010000}"/>
    <cellStyle name="Normal 96" xfId="459" xr:uid="{00000000-0005-0000-0000-0000C7010000}"/>
    <cellStyle name="Normal 96 2" xfId="460" xr:uid="{00000000-0005-0000-0000-0000C8010000}"/>
    <cellStyle name="Normal 97" xfId="461" xr:uid="{00000000-0005-0000-0000-0000C9010000}"/>
    <cellStyle name="Normal 97 2" xfId="462" xr:uid="{00000000-0005-0000-0000-0000CA010000}"/>
    <cellStyle name="Normal 98" xfId="463" xr:uid="{00000000-0005-0000-0000-0000CB010000}"/>
    <cellStyle name="Normal 98 2" xfId="464" xr:uid="{00000000-0005-0000-0000-0000CC010000}"/>
    <cellStyle name="Normal 99" xfId="465" xr:uid="{00000000-0005-0000-0000-0000CD010000}"/>
    <cellStyle name="Normal 99 2" xfId="466" xr:uid="{00000000-0005-0000-0000-0000CE010000}"/>
    <cellStyle name="Normal_Pesquisa no referencial 10 de maio de 2013" xfId="4" xr:uid="{00000000-0005-0000-0000-0000CF010000}"/>
    <cellStyle name="Nota 2" xfId="467" xr:uid="{00000000-0005-0000-0000-0000D0010000}"/>
    <cellStyle name="Nota 3" xfId="468" xr:uid="{00000000-0005-0000-0000-0000D1010000}"/>
    <cellStyle name="Note" xfId="469" xr:uid="{00000000-0005-0000-0000-0000D2010000}"/>
    <cellStyle name="Note 2" xfId="470" xr:uid="{00000000-0005-0000-0000-0000D3010000}"/>
    <cellStyle name="Note 3" xfId="471" xr:uid="{00000000-0005-0000-0000-0000D4010000}"/>
    <cellStyle name="Note 4" xfId="472" xr:uid="{00000000-0005-0000-0000-0000D5010000}"/>
    <cellStyle name="Output" xfId="473" xr:uid="{00000000-0005-0000-0000-0000D6010000}"/>
    <cellStyle name="Output 2" xfId="474" xr:uid="{00000000-0005-0000-0000-0000D7010000}"/>
    <cellStyle name="Percentual" xfId="475" xr:uid="{00000000-0005-0000-0000-0000D8010000}"/>
    <cellStyle name="Ponto" xfId="476" xr:uid="{00000000-0005-0000-0000-0000D9010000}"/>
    <cellStyle name="Porcentagem" xfId="521" builtinId="5"/>
    <cellStyle name="Porcentagem 2" xfId="7" xr:uid="{00000000-0005-0000-0000-0000DB010000}"/>
    <cellStyle name="Porcentagem 2 2" xfId="477" xr:uid="{00000000-0005-0000-0000-0000DC010000}"/>
    <cellStyle name="Porcentagem 3" xfId="478" xr:uid="{00000000-0005-0000-0000-0000DD010000}"/>
    <cellStyle name="Porcentagem 3 2" xfId="479" xr:uid="{00000000-0005-0000-0000-0000DE010000}"/>
    <cellStyle name="Porcentagem 4" xfId="480" xr:uid="{00000000-0005-0000-0000-0000DF010000}"/>
    <cellStyle name="Porcentagem 5" xfId="481" xr:uid="{00000000-0005-0000-0000-0000E0010000}"/>
    <cellStyle name="Porcentagem 6" xfId="482" xr:uid="{00000000-0005-0000-0000-0000E1010000}"/>
    <cellStyle name="Porcentagem 7" xfId="483" xr:uid="{00000000-0005-0000-0000-0000E2010000}"/>
    <cellStyle name="Saída 2" xfId="484" xr:uid="{00000000-0005-0000-0000-0000E3010000}"/>
    <cellStyle name="Separador de m" xfId="485" xr:uid="{00000000-0005-0000-0000-0000E4010000}"/>
    <cellStyle name="Separador de milhares 2" xfId="486" xr:uid="{00000000-0005-0000-0000-0000E5010000}"/>
    <cellStyle name="Separador de milhares 2 2" xfId="487" xr:uid="{00000000-0005-0000-0000-0000E6010000}"/>
    <cellStyle name="Separador de milhares 2 3" xfId="488" xr:uid="{00000000-0005-0000-0000-0000E7010000}"/>
    <cellStyle name="Separador de milhares 3" xfId="489" xr:uid="{00000000-0005-0000-0000-0000E8010000}"/>
    <cellStyle name="Separador de milhares 3 9" xfId="490" xr:uid="{00000000-0005-0000-0000-0000E9010000}"/>
    <cellStyle name="Separador de milhares 3 9 2" xfId="491" xr:uid="{00000000-0005-0000-0000-0000EA010000}"/>
    <cellStyle name="Separador de milhares 3 9 3" xfId="492" xr:uid="{00000000-0005-0000-0000-0000EB010000}"/>
    <cellStyle name="Separador de milhares 4" xfId="493" xr:uid="{00000000-0005-0000-0000-0000EC010000}"/>
    <cellStyle name="Texto de Aviso 2" xfId="494" xr:uid="{00000000-0005-0000-0000-0000ED010000}"/>
    <cellStyle name="Texto Explicativo 2" xfId="495" xr:uid="{00000000-0005-0000-0000-0000EE010000}"/>
    <cellStyle name="Title" xfId="496" xr:uid="{00000000-0005-0000-0000-0000EF010000}"/>
    <cellStyle name="Title 2" xfId="497" xr:uid="{00000000-0005-0000-0000-0000F0010000}"/>
    <cellStyle name="Título 1 2" xfId="498" xr:uid="{00000000-0005-0000-0000-0000F1010000}"/>
    <cellStyle name="Título 2 2" xfId="499" xr:uid="{00000000-0005-0000-0000-0000F2010000}"/>
    <cellStyle name="Título 3 2" xfId="500" xr:uid="{00000000-0005-0000-0000-0000F3010000}"/>
    <cellStyle name="Título 4 2" xfId="501" xr:uid="{00000000-0005-0000-0000-0000F4010000}"/>
    <cellStyle name="Título 5" xfId="502" xr:uid="{00000000-0005-0000-0000-0000F5010000}"/>
    <cellStyle name="Titulo1" xfId="503" xr:uid="{00000000-0005-0000-0000-0000F6010000}"/>
    <cellStyle name="Titulo2" xfId="504" xr:uid="{00000000-0005-0000-0000-0000F7010000}"/>
    <cellStyle name="Total 2" xfId="505" xr:uid="{00000000-0005-0000-0000-0000F8010000}"/>
    <cellStyle name="Vírgula 2" xfId="6" xr:uid="{00000000-0005-0000-0000-0000F9010000}"/>
    <cellStyle name="Vírgula 2 2" xfId="506" xr:uid="{00000000-0005-0000-0000-0000FA010000}"/>
    <cellStyle name="Vírgula 3" xfId="3" xr:uid="{00000000-0005-0000-0000-0000FB010000}"/>
    <cellStyle name="Vírgula 3 2" xfId="507" xr:uid="{00000000-0005-0000-0000-0000FC010000}"/>
    <cellStyle name="Vírgula 4" xfId="508" xr:uid="{00000000-0005-0000-0000-0000FD010000}"/>
    <cellStyle name="Vírgula 4 2" xfId="509" xr:uid="{00000000-0005-0000-0000-0000FE010000}"/>
    <cellStyle name="Vírgula 5" xfId="510" xr:uid="{00000000-0005-0000-0000-0000FF010000}"/>
    <cellStyle name="Vírgula 5 2" xfId="511" xr:uid="{00000000-0005-0000-0000-000000020000}"/>
    <cellStyle name="Vírgula 5 3" xfId="512" xr:uid="{00000000-0005-0000-0000-000001020000}"/>
    <cellStyle name="Vírgula 5 4" xfId="513" xr:uid="{00000000-0005-0000-0000-000002020000}"/>
    <cellStyle name="Vírgula 6" xfId="514" xr:uid="{00000000-0005-0000-0000-000003020000}"/>
    <cellStyle name="Vírgula 7" xfId="515" xr:uid="{00000000-0005-0000-0000-000004020000}"/>
    <cellStyle name="Vírgula 7 2" xfId="516" xr:uid="{00000000-0005-0000-0000-000005020000}"/>
    <cellStyle name="Vírgula 7 3" xfId="517" xr:uid="{00000000-0005-0000-0000-000006020000}"/>
    <cellStyle name="Vírgula 8" xfId="518" xr:uid="{00000000-0005-0000-0000-000007020000}"/>
    <cellStyle name="Vírgula0" xfId="519" xr:uid="{00000000-0005-0000-0000-000008020000}"/>
    <cellStyle name="Warning Text" xfId="520" xr:uid="{00000000-0005-0000-0000-000009020000}"/>
  </cellStyles>
  <dxfs count="4">
    <dxf>
      <fill>
        <patternFill>
          <bgColor indexed="10"/>
        </patternFill>
      </fill>
    </dxf>
    <dxf>
      <fill>
        <patternFill>
          <bgColor indexed="10"/>
        </patternFill>
      </fill>
    </dxf>
    <dxf>
      <font>
        <b/>
        <i val="0"/>
        <condense val="0"/>
        <extend val="0"/>
        <color indexed="10"/>
      </font>
    </dxf>
    <dxf>
      <font>
        <b/>
        <i val="0"/>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4</xdr:col>
      <xdr:colOff>561975</xdr:colOff>
      <xdr:row>32</xdr:row>
      <xdr:rowOff>95250</xdr:rowOff>
    </xdr:to>
    <xdr:pic>
      <xdr:nvPicPr>
        <xdr:cNvPr id="2" name="Picture 4">
          <a:extLst>
            <a:ext uri="{FF2B5EF4-FFF2-40B4-BE49-F238E27FC236}">
              <a16:creationId xmlns:a16="http://schemas.microsoft.com/office/drawing/2014/main" id="{CA6396A7-1269-4F5E-ABC6-313DFAC4761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7181850"/>
          <a:ext cx="34766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loma\c\Meus%20Documentos\FV-DN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aloma\c\0798\TECNICO\TEACOMP\LOTE06\P09\P10\RELAT6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007%20COORDENA&#199;&#195;O%20DE%20REPASSE\ARQUIVOS_PADR&#195;O_ENG&#170;_REPASSE\SIS_ENG_OGU\SIS_ENG_OGU_OBRAS_VERS&#195;O%201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CAMARA%20DE%20PLS\007%20COORDENA&#199;&#195;O%20DE%20REPASSE\ARQUIVOS_PADR&#195;O_ENG&#170;_REPASSE\SIS_ENG_OGU\SIS_ENG_OGU_OBRAS_VERS&#195;O%201_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dor\servidor\Meus%20documentos\EGESA\Br-482mg\Volume2\CANA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CAMARA%20DE%20PLS\Users\Myller\Documents\ARQUIVOS\Projetos\ARARA&#218;NA\2017\Po&#231;o%20Brejinho\Office%20Excel%20Document\1801~2100\B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_ORIGINAL"/>
      <sheetName val="RESUMO_AUT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FORMAÇÕES_1"/>
      <sheetName val="SIDUR_1"/>
      <sheetName val="INFORMAÇÕES_2"/>
      <sheetName val="SIDUR_2"/>
      <sheetName val="PARECER_SICONV"/>
      <sheetName val="LAE"/>
      <sheetName val="Anexo I - PAV"/>
      <sheetName val="Anexo I - SAN"/>
      <sheetName val="Anexo I - MOB"/>
      <sheetName val="Anexo I - URB"/>
      <sheetName val="Anexo II - Fotos"/>
      <sheetName val="Anexo V - LICIT"/>
      <sheetName val="VRPL"/>
      <sheetName val="BDI_2622"/>
      <sheetName val="TABELAS_ACORD_2622"/>
      <sheetName val="REPROG_OB"/>
      <sheetName val="RAE_OB"/>
      <sheetName val="Anexo II - RAE final"/>
      <sheetName val="Anexo III - GPS "/>
      <sheetName val="Auxiliar"/>
      <sheetName val="Projeto"/>
      <sheetName val="SPA _SIMP"/>
      <sheetName val="RELAT.FOTOS"/>
      <sheetName val="MENSALISTA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FORMAÇÕES_1"/>
      <sheetName val="SIDUR_1"/>
      <sheetName val="INFORMAÇÕES_2"/>
      <sheetName val="SIDUR_2"/>
      <sheetName val="PARECER_SICONV"/>
      <sheetName val="LAE"/>
      <sheetName val="Anexo I - PAV"/>
      <sheetName val="Anexo I - SAN"/>
      <sheetName val="Anexo I - MOB"/>
      <sheetName val="Anexo I - URB"/>
      <sheetName val="Anexo II - Fotos"/>
      <sheetName val="Anexo V - LICIT"/>
      <sheetName val="VRPL"/>
      <sheetName val="BDI_2622"/>
      <sheetName val="TABELAS_ACORD_2622"/>
      <sheetName val="REPROG_OB"/>
      <sheetName val="RAE_OB"/>
      <sheetName val="Anexo II - RAE final"/>
      <sheetName val="Anexo III - GPS "/>
      <sheetName val="Auxiliar"/>
      <sheetName val="Projeto"/>
      <sheetName val="SPA _SIMP"/>
      <sheetName val="RELAT.FOTOS"/>
      <sheetName val="MENSALISTA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Quant-Vol1 (2)"/>
      <sheetName val="QQegesa"/>
      <sheetName val="QQuant-Vol1"/>
      <sheetName val="Licitação"/>
      <sheetName val="QQegesa-ant"/>
      <sheetName val="QQUANT"/>
      <sheetName val="QQder"/>
      <sheetName val="NumerN"/>
      <sheetName val="BS"/>
      <sheetName val="FR"/>
      <sheetName val="Dimens"/>
      <sheetName val="QuantPav"/>
      <sheetName val="QuQuant"/>
      <sheetName val="NumerN (2)"/>
      <sheetName val="Dimens (2)"/>
      <sheetName val="QuantPav (2)"/>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CANA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I_2622"/>
      <sheetName val="TABELAS_ACORD_2622"/>
    </sheetNames>
    <sheetDataSet>
      <sheetData sheetId="0"/>
      <sheetData sheetId="1">
        <row r="8">
          <cell r="A8">
            <v>1</v>
          </cell>
          <cell r="B8" t="str">
            <v>Construção de Edifícios</v>
          </cell>
          <cell r="C8">
            <v>20.34</v>
          </cell>
          <cell r="D8">
            <v>22.12</v>
          </cell>
          <cell r="E8">
            <v>25</v>
          </cell>
          <cell r="F8">
            <v>3</v>
          </cell>
          <cell r="G8">
            <v>4</v>
          </cell>
          <cell r="H8">
            <v>5.5</v>
          </cell>
          <cell r="I8">
            <v>0.8</v>
          </cell>
          <cell r="J8">
            <v>0.8</v>
          </cell>
          <cell r="K8">
            <v>1</v>
          </cell>
          <cell r="L8">
            <v>0.97</v>
          </cell>
          <cell r="M8">
            <v>1.27</v>
          </cell>
          <cell r="N8">
            <v>1.27</v>
          </cell>
          <cell r="O8">
            <v>0.59</v>
          </cell>
          <cell r="P8">
            <v>1.23</v>
          </cell>
          <cell r="Q8">
            <v>1.39</v>
          </cell>
          <cell r="R8">
            <v>6.16</v>
          </cell>
          <cell r="S8">
            <v>7.4</v>
          </cell>
          <cell r="T8">
            <v>8.9600000000000009</v>
          </cell>
        </row>
        <row r="9">
          <cell r="A9">
            <v>2</v>
          </cell>
          <cell r="B9" t="str">
            <v>Construção de Rodovias e Ferrovias</v>
          </cell>
          <cell r="C9">
            <v>19.600000000000001</v>
          </cell>
          <cell r="D9">
            <v>20.97</v>
          </cell>
          <cell r="E9">
            <v>24.23</v>
          </cell>
          <cell r="F9">
            <v>3.8</v>
          </cell>
          <cell r="G9">
            <v>4.01</v>
          </cell>
          <cell r="H9">
            <v>4.67</v>
          </cell>
          <cell r="I9">
            <v>0.32</v>
          </cell>
          <cell r="J9">
            <v>0.4</v>
          </cell>
          <cell r="K9">
            <v>0.74</v>
          </cell>
          <cell r="L9">
            <v>0.5</v>
          </cell>
          <cell r="M9">
            <v>0.56000000000000005</v>
          </cell>
          <cell r="N9">
            <v>0.97</v>
          </cell>
          <cell r="O9">
            <v>1.02</v>
          </cell>
          <cell r="P9">
            <v>1.1100000000000001</v>
          </cell>
          <cell r="Q9">
            <v>1.21</v>
          </cell>
          <cell r="R9">
            <v>6.64</v>
          </cell>
          <cell r="S9">
            <v>7.3</v>
          </cell>
          <cell r="T9">
            <v>8.69</v>
          </cell>
        </row>
        <row r="10">
          <cell r="A10">
            <v>3</v>
          </cell>
          <cell r="B10" t="str">
            <v>Construção de Redes de Abastecimento de Água, Coleta de Esgoto e Construções Correlatas</v>
          </cell>
          <cell r="C10">
            <v>20.76</v>
          </cell>
          <cell r="D10">
            <v>24.18</v>
          </cell>
          <cell r="E10">
            <v>26.44</v>
          </cell>
          <cell r="F10">
            <v>3.43</v>
          </cell>
          <cell r="G10">
            <v>4.93</v>
          </cell>
          <cell r="H10">
            <v>6.71</v>
          </cell>
          <cell r="I10">
            <v>0.28000000000000003</v>
          </cell>
          <cell r="J10">
            <v>0.49</v>
          </cell>
          <cell r="K10">
            <v>0.75</v>
          </cell>
          <cell r="L10">
            <v>1</v>
          </cell>
          <cell r="M10">
            <v>1.39</v>
          </cell>
          <cell r="N10">
            <v>1.74</v>
          </cell>
          <cell r="O10">
            <v>0.94</v>
          </cell>
          <cell r="P10">
            <v>0.99</v>
          </cell>
          <cell r="Q10">
            <v>1.17</v>
          </cell>
          <cell r="R10">
            <v>6.74</v>
          </cell>
          <cell r="S10">
            <v>8.0399999999999991</v>
          </cell>
          <cell r="T10">
            <v>9.4</v>
          </cell>
        </row>
        <row r="11">
          <cell r="A11">
            <v>4</v>
          </cell>
          <cell r="B11" t="str">
            <v>Construção e Manutenção de Estações e Redes de Distribuição de Energia Elétrica</v>
          </cell>
          <cell r="C11">
            <v>24</v>
          </cell>
          <cell r="D11">
            <v>25.84</v>
          </cell>
          <cell r="E11">
            <v>27.86</v>
          </cell>
          <cell r="F11">
            <v>5.29</v>
          </cell>
          <cell r="G11">
            <v>5.92</v>
          </cell>
          <cell r="H11">
            <v>7.93</v>
          </cell>
          <cell r="I11">
            <v>0.25</v>
          </cell>
          <cell r="J11">
            <v>0.51</v>
          </cell>
          <cell r="K11">
            <v>0.56000000000000005</v>
          </cell>
          <cell r="L11">
            <v>1</v>
          </cell>
          <cell r="M11">
            <v>1.48</v>
          </cell>
          <cell r="N11">
            <v>1.97</v>
          </cell>
          <cell r="O11">
            <v>1.01</v>
          </cell>
          <cell r="P11">
            <v>1.07</v>
          </cell>
          <cell r="Q11">
            <v>1.1100000000000001</v>
          </cell>
          <cell r="R11">
            <v>8</v>
          </cell>
          <cell r="S11">
            <v>8.31</v>
          </cell>
          <cell r="T11">
            <v>9.51</v>
          </cell>
        </row>
        <row r="12">
          <cell r="A12">
            <v>5</v>
          </cell>
          <cell r="B12" t="str">
            <v>Obras Portuárias, Marítimas e Fluviais</v>
          </cell>
          <cell r="C12">
            <v>22.8</v>
          </cell>
          <cell r="D12">
            <v>27.48</v>
          </cell>
          <cell r="E12">
            <v>30.95</v>
          </cell>
          <cell r="F12">
            <v>4</v>
          </cell>
          <cell r="G12">
            <v>5.52</v>
          </cell>
          <cell r="H12">
            <v>7.85</v>
          </cell>
          <cell r="I12">
            <v>0</v>
          </cell>
          <cell r="J12">
            <v>1.22</v>
          </cell>
          <cell r="K12">
            <v>1.99</v>
          </cell>
          <cell r="L12">
            <v>1.46</v>
          </cell>
          <cell r="M12">
            <v>2.3199999999999998</v>
          </cell>
          <cell r="N12">
            <v>3.16</v>
          </cell>
          <cell r="O12">
            <v>0.94</v>
          </cell>
          <cell r="P12">
            <v>1.02</v>
          </cell>
          <cell r="Q12">
            <v>1.33</v>
          </cell>
          <cell r="R12">
            <v>7.14</v>
          </cell>
          <cell r="S12">
            <v>8.4</v>
          </cell>
          <cell r="T12">
            <v>10.43</v>
          </cell>
        </row>
        <row r="13">
          <cell r="A13">
            <v>6</v>
          </cell>
          <cell r="B13" t="str">
            <v>Fornecimento de Materiais e Equipamentos</v>
          </cell>
          <cell r="C13">
            <v>11.1</v>
          </cell>
          <cell r="D13">
            <v>14.02</v>
          </cell>
          <cell r="E13">
            <v>16.8</v>
          </cell>
          <cell r="F13">
            <v>1.5</v>
          </cell>
          <cell r="G13">
            <v>3.45</v>
          </cell>
          <cell r="H13">
            <v>4.49</v>
          </cell>
          <cell r="I13">
            <v>0.3</v>
          </cell>
          <cell r="J13">
            <v>0.48</v>
          </cell>
          <cell r="K13">
            <v>0.82</v>
          </cell>
          <cell r="L13">
            <v>0.56000000000000005</v>
          </cell>
          <cell r="M13">
            <v>0.85</v>
          </cell>
          <cell r="N13">
            <v>0.89</v>
          </cell>
          <cell r="O13">
            <v>0.85</v>
          </cell>
          <cell r="P13">
            <v>0.85</v>
          </cell>
          <cell r="Q13">
            <v>1.1100000000000001</v>
          </cell>
          <cell r="R13">
            <v>3.5</v>
          </cell>
          <cell r="S13">
            <v>5.1100000000000003</v>
          </cell>
          <cell r="T13">
            <v>6.22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4"/>
  <sheetViews>
    <sheetView view="pageBreakPreview" topLeftCell="A10" zoomScaleNormal="160" zoomScaleSheetLayoutView="100" workbookViewId="0">
      <selection activeCell="G13" sqref="G13"/>
    </sheetView>
  </sheetViews>
  <sheetFormatPr defaultRowHeight="15"/>
  <cols>
    <col min="1" max="1" width="9.5703125" style="2" customWidth="1"/>
    <col min="2" max="2" width="52.28515625" style="4" customWidth="1"/>
    <col min="3" max="3" width="13.5703125" style="3" bestFit="1" customWidth="1"/>
    <col min="4" max="4" width="11.85546875" style="3" customWidth="1"/>
    <col min="5" max="5" width="16.5703125" style="5" bestFit="1" customWidth="1"/>
    <col min="6" max="6" width="16.5703125" style="5" customWidth="1"/>
    <col min="7" max="7" width="20.85546875" style="5" bestFit="1" customWidth="1"/>
    <col min="8" max="8" width="13" style="7" bestFit="1" customWidth="1"/>
    <col min="10" max="10" width="15.140625" bestFit="1" customWidth="1"/>
    <col min="11" max="11" width="14.28515625" bestFit="1" customWidth="1"/>
    <col min="12" max="12" width="15.140625" bestFit="1" customWidth="1"/>
    <col min="13" max="14" width="12.85546875" bestFit="1" customWidth="1"/>
  </cols>
  <sheetData>
    <row r="1" spans="1:11" ht="21" customHeight="1">
      <c r="A1" s="162" t="s">
        <v>201</v>
      </c>
      <c r="B1" s="163"/>
      <c r="C1" s="163"/>
      <c r="D1" s="163"/>
      <c r="E1" s="163"/>
      <c r="F1" s="163"/>
      <c r="G1" s="163"/>
      <c r="H1" s="164"/>
    </row>
    <row r="2" spans="1:11" ht="15.75" thickBot="1">
      <c r="A2" s="165"/>
      <c r="B2" s="166"/>
      <c r="C2" s="166"/>
      <c r="D2" s="166"/>
      <c r="E2" s="166"/>
      <c r="F2" s="166"/>
      <c r="G2" s="166"/>
      <c r="H2" s="167"/>
    </row>
    <row r="3" spans="1:11" ht="15.75" thickBot="1">
      <c r="A3" s="10" t="s">
        <v>0</v>
      </c>
      <c r="B3" s="169" t="s">
        <v>205</v>
      </c>
      <c r="C3" s="170"/>
      <c r="D3" s="171"/>
      <c r="E3" s="8"/>
      <c r="F3" s="8"/>
      <c r="G3" s="8"/>
      <c r="H3" s="9"/>
    </row>
    <row r="4" spans="1:11" ht="15.75" thickBot="1">
      <c r="A4" s="10" t="s">
        <v>2</v>
      </c>
      <c r="B4" s="172" t="s">
        <v>206</v>
      </c>
      <c r="C4" s="173"/>
      <c r="D4" s="174"/>
      <c r="E4" s="8"/>
      <c r="F4" s="8"/>
      <c r="G4" s="8"/>
      <c r="H4" s="9"/>
    </row>
    <row r="5" spans="1:11" ht="15.75" thickBot="1">
      <c r="A5" s="10" t="s">
        <v>1</v>
      </c>
      <c r="B5" s="172" t="s">
        <v>207</v>
      </c>
      <c r="C5" s="173"/>
      <c r="D5" s="174"/>
      <c r="E5" s="8"/>
      <c r="F5" s="8"/>
      <c r="G5" s="8"/>
      <c r="H5" s="9"/>
    </row>
    <row r="6" spans="1:11" ht="15.75" thickBot="1">
      <c r="A6" s="116"/>
      <c r="B6" s="175"/>
      <c r="C6" s="175"/>
      <c r="D6" s="175"/>
      <c r="E6" s="11"/>
      <c r="F6" s="114" t="s">
        <v>200</v>
      </c>
      <c r="G6" s="113">
        <v>0.24229999999999999</v>
      </c>
      <c r="H6" s="9"/>
    </row>
    <row r="7" spans="1:11" ht="15.75" thickBot="1">
      <c r="A7" s="12"/>
      <c r="B7" s="13"/>
      <c r="C7" s="14"/>
      <c r="D7" s="14"/>
      <c r="E7" s="15"/>
      <c r="F7" s="15"/>
      <c r="G7" s="15"/>
      <c r="H7" s="9"/>
    </row>
    <row r="8" spans="1:11" ht="16.5" thickBot="1">
      <c r="A8" s="117" t="s">
        <v>3</v>
      </c>
      <c r="B8" s="118" t="s">
        <v>4</v>
      </c>
      <c r="C8" s="119" t="s">
        <v>7</v>
      </c>
      <c r="D8" s="119" t="s">
        <v>5</v>
      </c>
      <c r="E8" s="120" t="s">
        <v>10</v>
      </c>
      <c r="F8" s="120" t="s">
        <v>99</v>
      </c>
      <c r="G8" s="120" t="s">
        <v>11</v>
      </c>
      <c r="H8" s="121" t="s">
        <v>12</v>
      </c>
    </row>
    <row r="9" spans="1:11" ht="16.5" thickBot="1">
      <c r="A9" s="122" t="s">
        <v>76</v>
      </c>
      <c r="B9" s="123" t="s">
        <v>103</v>
      </c>
      <c r="C9" s="124"/>
      <c r="D9" s="124"/>
      <c r="E9" s="125"/>
      <c r="F9" s="125"/>
      <c r="G9" s="125"/>
      <c r="H9" s="126"/>
    </row>
    <row r="10" spans="1:11" ht="16.5" thickBot="1">
      <c r="A10" s="127" t="s">
        <v>8</v>
      </c>
      <c r="B10" s="128" t="s">
        <v>95</v>
      </c>
      <c r="C10" s="129"/>
      <c r="D10" s="129"/>
      <c r="E10" s="130"/>
      <c r="F10" s="131"/>
      <c r="G10" s="131">
        <f>SUM(G11:G13)</f>
        <v>8630831.1600000001</v>
      </c>
      <c r="H10" s="132"/>
    </row>
    <row r="11" spans="1:11" ht="60">
      <c r="A11" s="133" t="s">
        <v>139</v>
      </c>
      <c r="B11" s="134" t="s">
        <v>114</v>
      </c>
      <c r="C11" s="135">
        <f>C26</f>
        <v>63000</v>
      </c>
      <c r="D11" s="135" t="s">
        <v>6</v>
      </c>
      <c r="E11" s="20">
        <v>104.4</v>
      </c>
      <c r="F11" s="20">
        <f t="shared" ref="F11:F13" si="0">ROUND(E11*$G$6,2)+E11</f>
        <v>129.70000000000002</v>
      </c>
      <c r="G11" s="20">
        <f t="shared" ref="G11:G12" si="1">ROUND(F11*C11,2)</f>
        <v>8171100</v>
      </c>
      <c r="H11" s="136" t="s">
        <v>134</v>
      </c>
    </row>
    <row r="12" spans="1:11" ht="60">
      <c r="A12" s="133" t="s">
        <v>140</v>
      </c>
      <c r="B12" s="134" t="s">
        <v>146</v>
      </c>
      <c r="C12" s="135">
        <f>C11*17*(12/1000)</f>
        <v>12852</v>
      </c>
      <c r="D12" s="135" t="s">
        <v>147</v>
      </c>
      <c r="E12" s="20">
        <v>2.2799999999999998</v>
      </c>
      <c r="F12" s="20">
        <f t="shared" si="0"/>
        <v>2.83</v>
      </c>
      <c r="G12" s="20">
        <f t="shared" si="1"/>
        <v>36371.160000000003</v>
      </c>
      <c r="H12" s="136" t="s">
        <v>132</v>
      </c>
      <c r="J12">
        <v>93595</v>
      </c>
      <c r="K12" t="s">
        <v>12</v>
      </c>
    </row>
    <row r="13" spans="1:11" ht="60.75" thickBot="1">
      <c r="A13" s="133" t="s">
        <v>179</v>
      </c>
      <c r="B13" s="134" t="s">
        <v>148</v>
      </c>
      <c r="C13" s="135">
        <f>C11*0.05*1.2*100</f>
        <v>378000</v>
      </c>
      <c r="D13" s="135" t="s">
        <v>126</v>
      </c>
      <c r="E13" s="20">
        <v>0.9</v>
      </c>
      <c r="F13" s="20">
        <f t="shared" si="0"/>
        <v>1.1200000000000001</v>
      </c>
      <c r="G13" s="20">
        <f>ROUND(F13*C13,2)</f>
        <v>423360</v>
      </c>
      <c r="H13" s="136" t="s">
        <v>135</v>
      </c>
      <c r="J13">
        <v>93589</v>
      </c>
      <c r="K13" t="s">
        <v>12</v>
      </c>
    </row>
    <row r="14" spans="1:11" ht="16.5" thickBot="1">
      <c r="A14" s="127" t="s">
        <v>9</v>
      </c>
      <c r="B14" s="128" t="s">
        <v>115</v>
      </c>
      <c r="C14" s="129"/>
      <c r="D14" s="129"/>
      <c r="E14" s="130"/>
      <c r="F14" s="131"/>
      <c r="G14" s="131">
        <f>SUM(G15)</f>
        <v>1240920</v>
      </c>
      <c r="H14" s="132"/>
    </row>
    <row r="15" spans="1:11" ht="105.75" thickBot="1">
      <c r="A15" s="133" t="s">
        <v>139</v>
      </c>
      <c r="B15" s="134" t="s">
        <v>116</v>
      </c>
      <c r="C15" s="135">
        <f>(C26/7)*2</f>
        <v>18000</v>
      </c>
      <c r="D15" s="135" t="s">
        <v>127</v>
      </c>
      <c r="E15" s="20">
        <v>55.49</v>
      </c>
      <c r="F15" s="20">
        <f>ROUND(E15*$G$6,2)+E15</f>
        <v>68.94</v>
      </c>
      <c r="G15" s="20">
        <f>ROUND(F15*C15,2)</f>
        <v>1240920</v>
      </c>
      <c r="H15" s="136" t="s">
        <v>136</v>
      </c>
    </row>
    <row r="16" spans="1:11" ht="16.5" thickBot="1">
      <c r="A16" s="127" t="s">
        <v>15</v>
      </c>
      <c r="B16" s="128" t="s">
        <v>121</v>
      </c>
      <c r="C16" s="129"/>
      <c r="D16" s="129"/>
      <c r="E16" s="130"/>
      <c r="F16" s="131"/>
      <c r="G16" s="131">
        <f>SUM(G17:G20)</f>
        <v>978684.5</v>
      </c>
      <c r="H16" s="132"/>
    </row>
    <row r="17" spans="1:11">
      <c r="A17" s="137" t="s">
        <v>141</v>
      </c>
      <c r="B17" s="138" t="s">
        <v>122</v>
      </c>
      <c r="C17" s="139">
        <v>300</v>
      </c>
      <c r="D17" s="135" t="s">
        <v>145</v>
      </c>
      <c r="E17" s="109">
        <f>CPS!F10</f>
        <v>588.90486292800006</v>
      </c>
      <c r="F17" s="109">
        <f t="shared" ref="F17:F20" si="2">ROUND(E17*$G$6,2)+E17</f>
        <v>731.59486292800011</v>
      </c>
      <c r="G17" s="109">
        <f t="shared" ref="G17:G20" si="3">ROUND(F17*C17,2)</f>
        <v>219478.46</v>
      </c>
      <c r="H17" s="140" t="str">
        <f>CPS!A5</f>
        <v>CP 03</v>
      </c>
    </row>
    <row r="18" spans="1:11">
      <c r="A18" s="133" t="s">
        <v>142</v>
      </c>
      <c r="B18" s="134" t="s">
        <v>123</v>
      </c>
      <c r="C18" s="135">
        <v>300</v>
      </c>
      <c r="D18" s="135" t="s">
        <v>145</v>
      </c>
      <c r="E18" s="20">
        <f>CPS!F29</f>
        <v>515.78643292800007</v>
      </c>
      <c r="F18" s="20">
        <f t="shared" si="2"/>
        <v>640.76643292800009</v>
      </c>
      <c r="G18" s="20">
        <f t="shared" si="3"/>
        <v>192229.93</v>
      </c>
      <c r="H18" s="136" t="str">
        <f>CPS!A24</f>
        <v>CP 06</v>
      </c>
    </row>
    <row r="19" spans="1:11">
      <c r="A19" s="133" t="s">
        <v>143</v>
      </c>
      <c r="B19" s="134" t="s">
        <v>124</v>
      </c>
      <c r="C19" s="135">
        <v>600</v>
      </c>
      <c r="D19" s="135" t="s">
        <v>145</v>
      </c>
      <c r="E19" s="20">
        <f>CPS!F35</f>
        <v>577.78518292800004</v>
      </c>
      <c r="F19" s="20">
        <f t="shared" si="2"/>
        <v>717.78518292800004</v>
      </c>
      <c r="G19" s="20">
        <f t="shared" si="3"/>
        <v>430671.11</v>
      </c>
      <c r="H19" s="136" t="str">
        <f>CPS!A30</f>
        <v>CP 07</v>
      </c>
    </row>
    <row r="20" spans="1:11" ht="45.75" thickBot="1">
      <c r="A20" s="141" t="s">
        <v>144</v>
      </c>
      <c r="B20" s="142" t="s">
        <v>97</v>
      </c>
      <c r="C20" s="143">
        <f>1500*3</f>
        <v>4500</v>
      </c>
      <c r="D20" s="135" t="s">
        <v>6</v>
      </c>
      <c r="E20" s="21">
        <v>24.38</v>
      </c>
      <c r="F20" s="21">
        <f t="shared" si="2"/>
        <v>30.29</v>
      </c>
      <c r="G20" s="21">
        <f t="shared" si="3"/>
        <v>136305</v>
      </c>
      <c r="H20" s="144" t="s">
        <v>101</v>
      </c>
      <c r="J20">
        <f>C11/7</f>
        <v>9000</v>
      </c>
    </row>
    <row r="21" spans="1:11" ht="16.5" thickBot="1">
      <c r="A21" s="127" t="s">
        <v>77</v>
      </c>
      <c r="B21" s="128" t="s">
        <v>104</v>
      </c>
      <c r="C21" s="129"/>
      <c r="D21" s="129"/>
      <c r="E21" s="130"/>
      <c r="F21" s="131"/>
      <c r="G21" s="131">
        <f>SUM(G22:G24)</f>
        <v>1129712.3399999999</v>
      </c>
      <c r="H21" s="132"/>
      <c r="J21">
        <f>J20/100</f>
        <v>90</v>
      </c>
    </row>
    <row r="22" spans="1:11" ht="30">
      <c r="A22" s="133" t="s">
        <v>78</v>
      </c>
      <c r="B22" s="134" t="str">
        <f>CPS!B36</f>
        <v>PLACA DE OBRA EM CHAPA DE ACO GALVANIZADO</v>
      </c>
      <c r="C22" s="135">
        <v>20</v>
      </c>
      <c r="D22" s="135" t="s">
        <v>6</v>
      </c>
      <c r="E22" s="20">
        <f>CPS!F44</f>
        <v>414.3451</v>
      </c>
      <c r="F22" s="20">
        <f t="shared" ref="F22:F24" si="4">ROUND(E22*$G$6,2)+E22</f>
        <v>514.74509999999998</v>
      </c>
      <c r="G22" s="20">
        <f t="shared" ref="G22:G24" si="5">ROUND(F22*C22,2)</f>
        <v>10294.9</v>
      </c>
      <c r="H22" s="136" t="str">
        <f>CPS!A36</f>
        <v>CP 08</v>
      </c>
    </row>
    <row r="23" spans="1:11" ht="31.5" customHeight="1">
      <c r="A23" s="133" t="s">
        <v>79</v>
      </c>
      <c r="B23" s="134" t="s">
        <v>105</v>
      </c>
      <c r="C23" s="135">
        <v>20</v>
      </c>
      <c r="D23" s="135" t="s">
        <v>155</v>
      </c>
      <c r="E23" s="20">
        <v>14562.83</v>
      </c>
      <c r="F23" s="20">
        <f t="shared" si="4"/>
        <v>18091.400000000001</v>
      </c>
      <c r="G23" s="20">
        <f t="shared" si="5"/>
        <v>361828</v>
      </c>
      <c r="H23" s="136" t="s">
        <v>156</v>
      </c>
    </row>
    <row r="24" spans="1:11" ht="31.5" customHeight="1" thickBot="1">
      <c r="A24" s="141" t="s">
        <v>202</v>
      </c>
      <c r="B24" s="142" t="s">
        <v>203</v>
      </c>
      <c r="C24" s="143">
        <v>32</v>
      </c>
      <c r="D24" s="135" t="s">
        <v>204</v>
      </c>
      <c r="E24" s="21">
        <f>CPS!F4</f>
        <v>19057.13</v>
      </c>
      <c r="F24" s="20">
        <f t="shared" si="4"/>
        <v>23674.670000000002</v>
      </c>
      <c r="G24" s="20">
        <f t="shared" si="5"/>
        <v>757589.44</v>
      </c>
      <c r="H24" s="144" t="str">
        <f>CPS!A2</f>
        <v>CP 02</v>
      </c>
    </row>
    <row r="25" spans="1:11" ht="16.5" thickBot="1">
      <c r="A25" s="127" t="s">
        <v>80</v>
      </c>
      <c r="B25" s="128" t="s">
        <v>106</v>
      </c>
      <c r="C25" s="129"/>
      <c r="D25" s="129"/>
      <c r="E25" s="130"/>
      <c r="F25" s="131"/>
      <c r="G25" s="131">
        <f>SUM(G26:G33)</f>
        <v>1176307.1099999999</v>
      </c>
      <c r="H25" s="132"/>
    </row>
    <row r="26" spans="1:11" ht="45">
      <c r="A26" s="133" t="s">
        <v>81</v>
      </c>
      <c r="B26" s="134" t="s">
        <v>107</v>
      </c>
      <c r="C26" s="135">
        <v>63000</v>
      </c>
      <c r="D26" s="135" t="s">
        <v>125</v>
      </c>
      <c r="E26" s="20">
        <f>CPS!F18</f>
        <v>0.2227915</v>
      </c>
      <c r="F26" s="20">
        <f t="shared" ref="F26:F32" si="6">ROUND(E26*$G$6,2)+E26</f>
        <v>0.27279150000000002</v>
      </c>
      <c r="G26" s="20">
        <f t="shared" ref="G26:G33" si="7">ROUND(F26*C26,2)</f>
        <v>17185.86</v>
      </c>
      <c r="H26" s="136" t="str">
        <f>CPS!A11</f>
        <v>CP 04</v>
      </c>
      <c r="K26" s="6"/>
    </row>
    <row r="27" spans="1:11" ht="45">
      <c r="A27" s="133" t="s">
        <v>82</v>
      </c>
      <c r="B27" s="134" t="s">
        <v>108</v>
      </c>
      <c r="C27" s="135">
        <f>C26*0.5</f>
        <v>31500</v>
      </c>
      <c r="D27" s="135" t="s">
        <v>98</v>
      </c>
      <c r="E27" s="20">
        <v>3.71</v>
      </c>
      <c r="F27" s="20">
        <f t="shared" si="6"/>
        <v>4.6100000000000003</v>
      </c>
      <c r="G27" s="20">
        <f t="shared" si="7"/>
        <v>145215</v>
      </c>
      <c r="H27" s="136" t="s">
        <v>128</v>
      </c>
    </row>
    <row r="28" spans="1:11" ht="60">
      <c r="A28" s="133" t="s">
        <v>183</v>
      </c>
      <c r="B28" s="134" t="s">
        <v>109</v>
      </c>
      <c r="C28" s="135">
        <f>C27*1.25*3</f>
        <v>118125</v>
      </c>
      <c r="D28" s="135" t="s">
        <v>126</v>
      </c>
      <c r="E28" s="20">
        <v>2.4700000000000002</v>
      </c>
      <c r="F28" s="20">
        <f t="shared" si="6"/>
        <v>3.0700000000000003</v>
      </c>
      <c r="G28" s="20">
        <f t="shared" si="7"/>
        <v>362643.75</v>
      </c>
      <c r="H28" s="136" t="s">
        <v>129</v>
      </c>
    </row>
    <row r="29" spans="1:11" ht="75">
      <c r="A29" s="133" t="s">
        <v>184</v>
      </c>
      <c r="B29" s="134" t="s">
        <v>110</v>
      </c>
      <c r="C29" s="135">
        <f>C26</f>
        <v>63000</v>
      </c>
      <c r="D29" s="135" t="s">
        <v>6</v>
      </c>
      <c r="E29" s="20">
        <v>0.34</v>
      </c>
      <c r="F29" s="20">
        <f t="shared" si="6"/>
        <v>0.42000000000000004</v>
      </c>
      <c r="G29" s="20">
        <f t="shared" si="7"/>
        <v>26460</v>
      </c>
      <c r="H29" s="136" t="s">
        <v>130</v>
      </c>
    </row>
    <row r="30" spans="1:11" ht="45">
      <c r="A30" s="133" t="s">
        <v>185</v>
      </c>
      <c r="B30" s="134" t="s">
        <v>111</v>
      </c>
      <c r="C30" s="135">
        <f>C29</f>
        <v>63000</v>
      </c>
      <c r="D30" s="135" t="s">
        <v>6</v>
      </c>
      <c r="E30" s="20">
        <v>2.23</v>
      </c>
      <c r="F30" s="20">
        <f t="shared" si="6"/>
        <v>2.77</v>
      </c>
      <c r="G30" s="20">
        <f t="shared" si="7"/>
        <v>174510</v>
      </c>
      <c r="H30" s="136" t="s">
        <v>131</v>
      </c>
    </row>
    <row r="31" spans="1:11" ht="45">
      <c r="A31" s="133" t="s">
        <v>186</v>
      </c>
      <c r="B31" s="134" t="s">
        <v>108</v>
      </c>
      <c r="C31" s="135">
        <f>C30*0.2</f>
        <v>12600</v>
      </c>
      <c r="D31" s="135" t="s">
        <v>98</v>
      </c>
      <c r="E31" s="20">
        <v>3.71</v>
      </c>
      <c r="F31" s="20">
        <f t="shared" si="6"/>
        <v>4.6100000000000003</v>
      </c>
      <c r="G31" s="20">
        <f t="shared" si="7"/>
        <v>58086</v>
      </c>
      <c r="H31" s="136">
        <v>101114</v>
      </c>
    </row>
    <row r="32" spans="1:11" ht="60">
      <c r="A32" s="133" t="s">
        <v>187</v>
      </c>
      <c r="B32" s="134" t="s">
        <v>112</v>
      </c>
      <c r="C32" s="135">
        <f>C31*1.25*5</f>
        <v>78750</v>
      </c>
      <c r="D32" s="135" t="s">
        <v>126</v>
      </c>
      <c r="E32" s="20">
        <v>2.2799999999999998</v>
      </c>
      <c r="F32" s="20">
        <f t="shared" si="6"/>
        <v>2.83</v>
      </c>
      <c r="G32" s="20">
        <f t="shared" si="7"/>
        <v>222862.5</v>
      </c>
      <c r="H32" s="136" t="s">
        <v>132</v>
      </c>
    </row>
    <row r="33" spans="1:10" ht="90.75" thickBot="1">
      <c r="A33" s="133" t="s">
        <v>188</v>
      </c>
      <c r="B33" s="134" t="s">
        <v>113</v>
      </c>
      <c r="C33" s="135">
        <f>C31</f>
        <v>12600</v>
      </c>
      <c r="D33" s="135" t="s">
        <v>98</v>
      </c>
      <c r="E33" s="20">
        <v>10.82</v>
      </c>
      <c r="F33" s="20">
        <f>ROUND(E33*$G$6,2)+E33</f>
        <v>13.440000000000001</v>
      </c>
      <c r="G33" s="20">
        <f t="shared" si="7"/>
        <v>169344</v>
      </c>
      <c r="H33" s="136" t="s">
        <v>133</v>
      </c>
    </row>
    <row r="34" spans="1:10" ht="16.5" thickBot="1">
      <c r="A34" s="127" t="s">
        <v>83</v>
      </c>
      <c r="B34" s="128" t="s">
        <v>117</v>
      </c>
      <c r="C34" s="129"/>
      <c r="D34" s="129"/>
      <c r="E34" s="130"/>
      <c r="F34" s="131"/>
      <c r="G34" s="131">
        <f>SUM(G35:G37)</f>
        <v>2035022.7</v>
      </c>
      <c r="H34" s="132"/>
    </row>
    <row r="35" spans="1:10" ht="75">
      <c r="A35" s="137" t="s">
        <v>41</v>
      </c>
      <c r="B35" s="138" t="s">
        <v>118</v>
      </c>
      <c r="C35" s="139">
        <f>C15*1.5*0.07</f>
        <v>1890.0000000000002</v>
      </c>
      <c r="D35" s="139" t="s">
        <v>98</v>
      </c>
      <c r="E35" s="109">
        <v>813.13</v>
      </c>
      <c r="F35" s="109">
        <f t="shared" ref="F35:F37" si="8">ROUND(E35*$G$6,2)+E35</f>
        <v>1010.15</v>
      </c>
      <c r="G35" s="109">
        <f t="shared" ref="G35:G37" si="9">ROUND(F35*C35,2)</f>
        <v>1909183.5</v>
      </c>
      <c r="H35" s="140" t="s">
        <v>137</v>
      </c>
    </row>
    <row r="36" spans="1:10" ht="30">
      <c r="A36" s="133" t="s">
        <v>45</v>
      </c>
      <c r="B36" s="134" t="s">
        <v>119</v>
      </c>
      <c r="C36" s="135">
        <v>300</v>
      </c>
      <c r="D36" s="135" t="s">
        <v>6</v>
      </c>
      <c r="E36" s="20">
        <v>132.37</v>
      </c>
      <c r="F36" s="20">
        <f t="shared" si="8"/>
        <v>164.44</v>
      </c>
      <c r="G36" s="20">
        <f t="shared" si="9"/>
        <v>49332</v>
      </c>
      <c r="H36" s="136" t="s">
        <v>138</v>
      </c>
    </row>
    <row r="37" spans="1:10" ht="30.75" thickBot="1">
      <c r="A37" s="141" t="s">
        <v>48</v>
      </c>
      <c r="B37" s="142" t="str">
        <f>CPS!B19</f>
        <v>PREPARO DE TERRENO PARA A EXECUÇÃO DE CALÇADA</v>
      </c>
      <c r="C37" s="143">
        <f>C35/0.07</f>
        <v>27000</v>
      </c>
      <c r="D37" s="143" t="s">
        <v>6</v>
      </c>
      <c r="E37" s="21">
        <f>CPS!F23</f>
        <v>2.2835999999999999</v>
      </c>
      <c r="F37" s="21">
        <f t="shared" si="8"/>
        <v>2.8335999999999997</v>
      </c>
      <c r="G37" s="21">
        <f t="shared" si="9"/>
        <v>76507.199999999997</v>
      </c>
      <c r="H37" s="144" t="str">
        <f>CPS!A19</f>
        <v>CP 05</v>
      </c>
    </row>
    <row r="38" spans="1:10" ht="15.75" thickBot="1">
      <c r="A38" s="14"/>
      <c r="B38" s="13"/>
      <c r="C38" s="14"/>
      <c r="D38" s="168"/>
      <c r="E38" s="168"/>
      <c r="F38" s="111" t="s">
        <v>93</v>
      </c>
      <c r="G38" s="112">
        <f>SUM(G9:G37)/2</f>
        <v>15191477.809999999</v>
      </c>
      <c r="H38" s="9"/>
    </row>
    <row r="39" spans="1:10">
      <c r="A39" s="3"/>
      <c r="B39" s="16"/>
      <c r="C39" s="18"/>
      <c r="J39" s="6"/>
    </row>
    <row r="40" spans="1:10" ht="23.25">
      <c r="A40" s="3"/>
      <c r="B40" s="19"/>
      <c r="C40" s="18"/>
      <c r="J40" s="17"/>
    </row>
    <row r="41" spans="1:10" ht="23.25">
      <c r="A41" s="3"/>
      <c r="B41" s="19"/>
      <c r="C41" s="18"/>
    </row>
    <row r="42" spans="1:10" ht="23.25">
      <c r="A42" s="3"/>
      <c r="B42" s="19"/>
    </row>
    <row r="43" spans="1:10">
      <c r="A43" s="3"/>
      <c r="C43" s="1"/>
    </row>
    <row r="44" spans="1:10">
      <c r="A44" s="3"/>
    </row>
    <row r="45" spans="1:10">
      <c r="A45" s="3"/>
    </row>
    <row r="46" spans="1:10">
      <c r="A46" s="3"/>
    </row>
    <row r="47" spans="1:10">
      <c r="A47" s="3"/>
    </row>
    <row r="48" spans="1:10">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sheetData>
  <mergeCells count="6">
    <mergeCell ref="A1:H2"/>
    <mergeCell ref="D38:E38"/>
    <mergeCell ref="B3:D3"/>
    <mergeCell ref="B4:D4"/>
    <mergeCell ref="B5:D5"/>
    <mergeCell ref="B6:D6"/>
  </mergeCells>
  <phoneticPr fontId="56" type="noConversion"/>
  <pageMargins left="0.511811024" right="0.511811024" top="0.78740157499999996" bottom="0.78740157499999996" header="0.31496062000000002" footer="0.31496062000000002"/>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0C42-9E6F-4935-9531-4A8F2EDD5D1B}">
  <dimension ref="A1:G44"/>
  <sheetViews>
    <sheetView tabSelected="1" view="pageBreakPreview" zoomScaleNormal="115" zoomScaleSheetLayoutView="100" workbookViewId="0">
      <selection activeCell="D31" sqref="D31"/>
    </sheetView>
  </sheetViews>
  <sheetFormatPr defaultRowHeight="15"/>
  <cols>
    <col min="1" max="1" width="12.42578125" customWidth="1"/>
    <col min="2" max="2" width="66.140625" style="22" customWidth="1"/>
    <col min="4" max="4" width="9.5703125" style="115" bestFit="1" customWidth="1"/>
    <col min="5" max="5" width="16" style="110" bestFit="1" customWidth="1"/>
    <col min="6" max="6" width="15.85546875" style="110" customWidth="1"/>
  </cols>
  <sheetData>
    <row r="1" spans="1:6" ht="24" thickBot="1">
      <c r="A1" s="179" t="s">
        <v>84</v>
      </c>
      <c r="B1" s="180"/>
      <c r="C1" s="180"/>
      <c r="D1" s="180"/>
      <c r="E1" s="180"/>
      <c r="F1" s="181"/>
    </row>
    <row r="2" spans="1:6" ht="32.25" thickBot="1">
      <c r="A2" s="145" t="s">
        <v>150</v>
      </c>
      <c r="B2" s="146" t="s">
        <v>94</v>
      </c>
      <c r="C2" s="145" t="s">
        <v>153</v>
      </c>
      <c r="D2" s="145" t="s">
        <v>89</v>
      </c>
      <c r="E2" s="147" t="s">
        <v>90</v>
      </c>
      <c r="F2" s="148" t="s">
        <v>91</v>
      </c>
    </row>
    <row r="3" spans="1:6" ht="15" customHeight="1" thickBot="1">
      <c r="A3" s="149">
        <v>93565</v>
      </c>
      <c r="B3" s="150" t="s">
        <v>151</v>
      </c>
      <c r="C3" s="150" t="s">
        <v>152</v>
      </c>
      <c r="D3" s="149">
        <v>1</v>
      </c>
      <c r="E3" s="151">
        <v>19057.13</v>
      </c>
      <c r="F3" s="152">
        <f t="shared" ref="F3" si="0">E3*D3</f>
        <v>19057.13</v>
      </c>
    </row>
    <row r="4" spans="1:6" ht="16.5" thickBot="1">
      <c r="A4" s="153"/>
      <c r="B4" s="176" t="s">
        <v>93</v>
      </c>
      <c r="C4" s="177"/>
      <c r="D4" s="177"/>
      <c r="E4" s="178"/>
      <c r="F4" s="154">
        <f>SUM(F3:F3)</f>
        <v>19057.13</v>
      </c>
    </row>
    <row r="5" spans="1:6" ht="32.25" thickBot="1">
      <c r="A5" s="145" t="s">
        <v>154</v>
      </c>
      <c r="B5" s="146" t="s">
        <v>122</v>
      </c>
      <c r="C5" s="145" t="s">
        <v>155</v>
      </c>
      <c r="D5" s="145" t="s">
        <v>89</v>
      </c>
      <c r="E5" s="147" t="s">
        <v>90</v>
      </c>
      <c r="F5" s="148" t="s">
        <v>91</v>
      </c>
    </row>
    <row r="6" spans="1:6" ht="30">
      <c r="A6" s="149" t="s">
        <v>175</v>
      </c>
      <c r="B6" s="150" t="s">
        <v>172</v>
      </c>
      <c r="C6" s="150" t="s">
        <v>98</v>
      </c>
      <c r="D6" s="149">
        <v>2.0347199999999999E-2</v>
      </c>
      <c r="E6" s="155">
        <v>71.08</v>
      </c>
      <c r="F6" s="152">
        <f t="shared" ref="F6:F9" si="1">E6*D6</f>
        <v>1.4462789759999999</v>
      </c>
    </row>
    <row r="7" spans="1:6" ht="60">
      <c r="A7" s="149" t="s">
        <v>176</v>
      </c>
      <c r="B7" s="150" t="s">
        <v>173</v>
      </c>
      <c r="C7" s="150" t="s">
        <v>98</v>
      </c>
      <c r="D7" s="149">
        <v>1.4459700000000001E-2</v>
      </c>
      <c r="E7" s="155">
        <v>432.16</v>
      </c>
      <c r="F7" s="152">
        <f t="shared" si="1"/>
        <v>6.2489039520000009</v>
      </c>
    </row>
    <row r="8" spans="1:6" ht="30">
      <c r="A8" s="149" t="s">
        <v>100</v>
      </c>
      <c r="B8" s="150" t="s">
        <v>96</v>
      </c>
      <c r="C8" s="150" t="s">
        <v>6</v>
      </c>
      <c r="D8" s="149">
        <v>0.30175999999999997</v>
      </c>
      <c r="E8" s="155">
        <v>693</v>
      </c>
      <c r="F8" s="152">
        <f t="shared" si="1"/>
        <v>209.11967999999999</v>
      </c>
    </row>
    <row r="9" spans="1:6" ht="45.75" thickBot="1">
      <c r="A9" s="156" t="s">
        <v>177</v>
      </c>
      <c r="B9" s="157" t="s">
        <v>174</v>
      </c>
      <c r="C9" s="157" t="s">
        <v>127</v>
      </c>
      <c r="D9" s="156">
        <v>3</v>
      </c>
      <c r="E9" s="155">
        <v>124.03</v>
      </c>
      <c r="F9" s="158">
        <f t="shared" si="1"/>
        <v>372.09000000000003</v>
      </c>
    </row>
    <row r="10" spans="1:6" ht="16.5" thickBot="1">
      <c r="A10" s="153"/>
      <c r="B10" s="176" t="s">
        <v>93</v>
      </c>
      <c r="C10" s="177"/>
      <c r="D10" s="177"/>
      <c r="E10" s="178"/>
      <c r="F10" s="154">
        <f>SUM(F6:F9)</f>
        <v>588.90486292800006</v>
      </c>
    </row>
    <row r="11" spans="1:6" ht="48" thickBot="1">
      <c r="A11" s="145" t="s">
        <v>156</v>
      </c>
      <c r="B11" s="146" t="s">
        <v>107</v>
      </c>
      <c r="C11" s="145" t="s">
        <v>86</v>
      </c>
      <c r="D11" s="145" t="s">
        <v>89</v>
      </c>
      <c r="E11" s="147" t="s">
        <v>90</v>
      </c>
      <c r="F11" s="148" t="s">
        <v>91</v>
      </c>
    </row>
    <row r="12" spans="1:6" ht="30">
      <c r="A12" s="149" t="s">
        <v>162</v>
      </c>
      <c r="B12" s="150" t="s">
        <v>157</v>
      </c>
      <c r="C12" s="150" t="s">
        <v>87</v>
      </c>
      <c r="D12" s="149">
        <v>2.5000000000000001E-3</v>
      </c>
      <c r="E12" s="155">
        <v>10.25</v>
      </c>
      <c r="F12" s="158">
        <f t="shared" ref="F12:F17" si="2">E12*D12</f>
        <v>2.5625000000000002E-2</v>
      </c>
    </row>
    <row r="13" spans="1:6">
      <c r="A13" s="149" t="s">
        <v>163</v>
      </c>
      <c r="B13" s="150" t="s">
        <v>158</v>
      </c>
      <c r="C13" s="150" t="s">
        <v>87</v>
      </c>
      <c r="D13" s="149">
        <v>2.5000000000000001E-3</v>
      </c>
      <c r="E13" s="155">
        <v>12.54</v>
      </c>
      <c r="F13" s="158">
        <f t="shared" si="2"/>
        <v>3.1349999999999996E-2</v>
      </c>
    </row>
    <row r="14" spans="1:6">
      <c r="A14" s="149" t="s">
        <v>149</v>
      </c>
      <c r="B14" s="150" t="s">
        <v>88</v>
      </c>
      <c r="C14" s="150" t="s">
        <v>87</v>
      </c>
      <c r="D14" s="149">
        <v>2.5000000000000001E-3</v>
      </c>
      <c r="E14" s="155">
        <v>17.97</v>
      </c>
      <c r="F14" s="158">
        <f t="shared" si="2"/>
        <v>4.4925E-2</v>
      </c>
    </row>
    <row r="15" spans="1:6" ht="30">
      <c r="A15" s="149" t="s">
        <v>164</v>
      </c>
      <c r="B15" s="150" t="s">
        <v>159</v>
      </c>
      <c r="C15" s="150" t="s">
        <v>87</v>
      </c>
      <c r="D15" s="149">
        <v>2E-3</v>
      </c>
      <c r="E15" s="155">
        <v>19.399999999999999</v>
      </c>
      <c r="F15" s="158">
        <f t="shared" si="2"/>
        <v>3.8800000000000001E-2</v>
      </c>
    </row>
    <row r="16" spans="1:6" ht="45">
      <c r="A16" s="149" t="s">
        <v>165</v>
      </c>
      <c r="B16" s="150" t="s">
        <v>160</v>
      </c>
      <c r="C16" s="150" t="s">
        <v>92</v>
      </c>
      <c r="D16" s="149">
        <v>1E-3</v>
      </c>
      <c r="E16" s="155">
        <v>66.94</v>
      </c>
      <c r="F16" s="158">
        <f t="shared" si="2"/>
        <v>6.694E-2</v>
      </c>
    </row>
    <row r="17" spans="1:7" ht="30.75" thickBot="1">
      <c r="A17" s="156" t="s">
        <v>166</v>
      </c>
      <c r="B17" s="157" t="s">
        <v>161</v>
      </c>
      <c r="C17" s="157" t="s">
        <v>127</v>
      </c>
      <c r="D17" s="156">
        <v>2.8860000000000001E-3</v>
      </c>
      <c r="E17" s="155">
        <v>5.25</v>
      </c>
      <c r="F17" s="158">
        <f t="shared" si="2"/>
        <v>1.51515E-2</v>
      </c>
    </row>
    <row r="18" spans="1:7" ht="16.5" thickBot="1">
      <c r="A18" s="153"/>
      <c r="B18" s="176" t="s">
        <v>93</v>
      </c>
      <c r="C18" s="177"/>
      <c r="D18" s="177"/>
      <c r="E18" s="178"/>
      <c r="F18" s="154">
        <f>SUM(F12:F17)</f>
        <v>0.2227915</v>
      </c>
    </row>
    <row r="19" spans="1:7" s="110" customFormat="1" ht="32.25" thickBot="1">
      <c r="A19" s="145" t="s">
        <v>167</v>
      </c>
      <c r="B19" s="146" t="s">
        <v>120</v>
      </c>
      <c r="C19" s="145" t="s">
        <v>6</v>
      </c>
      <c r="D19" s="145" t="s">
        <v>89</v>
      </c>
      <c r="E19" s="147" t="s">
        <v>90</v>
      </c>
      <c r="F19" s="148" t="s">
        <v>91</v>
      </c>
      <c r="G19"/>
    </row>
    <row r="20" spans="1:7" ht="60">
      <c r="A20" s="149" t="s">
        <v>170</v>
      </c>
      <c r="B20" s="150" t="s">
        <v>168</v>
      </c>
      <c r="C20" s="150" t="s">
        <v>6</v>
      </c>
      <c r="D20" s="159">
        <v>1</v>
      </c>
      <c r="E20" s="155">
        <v>0.59</v>
      </c>
      <c r="F20" s="152">
        <f t="shared" ref="F20:F22" si="3">E20*D20</f>
        <v>0.59</v>
      </c>
    </row>
    <row r="21" spans="1:7" ht="30">
      <c r="A21" s="149" t="s">
        <v>171</v>
      </c>
      <c r="B21" s="150" t="s">
        <v>169</v>
      </c>
      <c r="C21" s="150" t="s">
        <v>98</v>
      </c>
      <c r="D21" s="159">
        <v>0.2</v>
      </c>
      <c r="E21" s="155">
        <v>1.28</v>
      </c>
      <c r="F21" s="152">
        <f t="shared" si="3"/>
        <v>0.25600000000000001</v>
      </c>
    </row>
    <row r="22" spans="1:7" ht="15.75" thickBot="1">
      <c r="A22" s="156" t="s">
        <v>149</v>
      </c>
      <c r="B22" s="157" t="s">
        <v>88</v>
      </c>
      <c r="C22" s="157" t="s">
        <v>87</v>
      </c>
      <c r="D22" s="156">
        <v>0.08</v>
      </c>
      <c r="E22" s="155">
        <v>17.97</v>
      </c>
      <c r="F22" s="158">
        <f t="shared" si="3"/>
        <v>1.4376</v>
      </c>
    </row>
    <row r="23" spans="1:7" ht="16.5" thickBot="1">
      <c r="A23" s="153"/>
      <c r="B23" s="176" t="s">
        <v>93</v>
      </c>
      <c r="C23" s="177"/>
      <c r="D23" s="177"/>
      <c r="E23" s="178"/>
      <c r="F23" s="154">
        <f>SUM(F20:F22)</f>
        <v>2.2835999999999999</v>
      </c>
    </row>
    <row r="24" spans="1:7" ht="32.25" thickBot="1">
      <c r="A24" s="145" t="s">
        <v>178</v>
      </c>
      <c r="B24" s="146" t="s">
        <v>180</v>
      </c>
      <c r="C24" s="145" t="s">
        <v>155</v>
      </c>
      <c r="D24" s="145" t="s">
        <v>89</v>
      </c>
      <c r="E24" s="147" t="s">
        <v>90</v>
      </c>
      <c r="F24" s="148" t="s">
        <v>91</v>
      </c>
    </row>
    <row r="25" spans="1:7" ht="30">
      <c r="A25" s="149" t="s">
        <v>175</v>
      </c>
      <c r="B25" s="150" t="s">
        <v>172</v>
      </c>
      <c r="C25" s="150" t="s">
        <v>98</v>
      </c>
      <c r="D25" s="149">
        <v>2.0347199999999999E-2</v>
      </c>
      <c r="E25" s="155">
        <v>71.08</v>
      </c>
      <c r="F25" s="152">
        <f t="shared" ref="F25:F28" si="4">E25*D25</f>
        <v>1.4462789759999999</v>
      </c>
    </row>
    <row r="26" spans="1:7" ht="60">
      <c r="A26" s="149" t="s">
        <v>176</v>
      </c>
      <c r="B26" s="150" t="s">
        <v>173</v>
      </c>
      <c r="C26" s="150" t="s">
        <v>98</v>
      </c>
      <c r="D26" s="149">
        <v>1.4459700000000001E-2</v>
      </c>
      <c r="E26" s="155">
        <v>432.16</v>
      </c>
      <c r="F26" s="152">
        <f t="shared" si="4"/>
        <v>6.2489039520000009</v>
      </c>
    </row>
    <row r="27" spans="1:7" ht="30">
      <c r="A27" s="149">
        <v>34723</v>
      </c>
      <c r="B27" s="150" t="s">
        <v>96</v>
      </c>
      <c r="C27" s="150" t="s">
        <v>6</v>
      </c>
      <c r="D27" s="149">
        <v>0.19625000000000001</v>
      </c>
      <c r="E27" s="155">
        <v>693</v>
      </c>
      <c r="F27" s="152">
        <f t="shared" si="4"/>
        <v>136.00125</v>
      </c>
    </row>
    <row r="28" spans="1:7" ht="45.75" thickBot="1">
      <c r="A28" s="156">
        <v>21013</v>
      </c>
      <c r="B28" s="157" t="s">
        <v>174</v>
      </c>
      <c r="C28" s="157" t="s">
        <v>127</v>
      </c>
      <c r="D28" s="160">
        <v>3</v>
      </c>
      <c r="E28" s="155">
        <v>124.03</v>
      </c>
      <c r="F28" s="158">
        <f t="shared" si="4"/>
        <v>372.09000000000003</v>
      </c>
    </row>
    <row r="29" spans="1:7" ht="16.5" thickBot="1">
      <c r="A29" s="153"/>
      <c r="B29" s="176" t="s">
        <v>93</v>
      </c>
      <c r="C29" s="177"/>
      <c r="D29" s="177"/>
      <c r="E29" s="178"/>
      <c r="F29" s="154">
        <f>SUM(F25:F28)</f>
        <v>515.78643292800007</v>
      </c>
    </row>
    <row r="30" spans="1:7" ht="32.25" thickBot="1">
      <c r="A30" s="145" t="s">
        <v>181</v>
      </c>
      <c r="B30" s="146" t="s">
        <v>124</v>
      </c>
      <c r="C30" s="145" t="s">
        <v>155</v>
      </c>
      <c r="D30" s="145" t="s">
        <v>89</v>
      </c>
      <c r="E30" s="147" t="s">
        <v>90</v>
      </c>
      <c r="F30" s="148" t="s">
        <v>91</v>
      </c>
    </row>
    <row r="31" spans="1:7" ht="30">
      <c r="A31" s="149" t="s">
        <v>175</v>
      </c>
      <c r="B31" s="150" t="s">
        <v>172</v>
      </c>
      <c r="C31" s="150" t="s">
        <v>98</v>
      </c>
      <c r="D31" s="149">
        <v>2.0347199999999999E-2</v>
      </c>
      <c r="E31" s="155">
        <v>71.08</v>
      </c>
      <c r="F31" s="152">
        <f t="shared" ref="F31:F34" si="5">E31*D31</f>
        <v>1.4462789759999999</v>
      </c>
    </row>
    <row r="32" spans="1:7" ht="60">
      <c r="A32" s="149" t="s">
        <v>176</v>
      </c>
      <c r="B32" s="150" t="s">
        <v>173</v>
      </c>
      <c r="C32" s="150" t="s">
        <v>98</v>
      </c>
      <c r="D32" s="149">
        <v>1.4459700000000001E-2</v>
      </c>
      <c r="E32" s="155">
        <v>432.16</v>
      </c>
      <c r="F32" s="152">
        <f t="shared" si="5"/>
        <v>6.2489039520000009</v>
      </c>
    </row>
    <row r="33" spans="1:6" ht="30">
      <c r="A33" s="149" t="s">
        <v>102</v>
      </c>
      <c r="B33" s="150" t="s">
        <v>182</v>
      </c>
      <c r="C33" s="150" t="s">
        <v>6</v>
      </c>
      <c r="D33" s="159">
        <v>2</v>
      </c>
      <c r="E33" s="155">
        <v>99</v>
      </c>
      <c r="F33" s="152">
        <f t="shared" si="5"/>
        <v>198</v>
      </c>
    </row>
    <row r="34" spans="1:6" ht="45.75" thickBot="1">
      <c r="A34" s="156" t="s">
        <v>177</v>
      </c>
      <c r="B34" s="157" t="s">
        <v>174</v>
      </c>
      <c r="C34" s="157" t="s">
        <v>127</v>
      </c>
      <c r="D34" s="161">
        <v>3</v>
      </c>
      <c r="E34" s="155">
        <v>124.03</v>
      </c>
      <c r="F34" s="158">
        <f t="shared" si="5"/>
        <v>372.09000000000003</v>
      </c>
    </row>
    <row r="35" spans="1:6" ht="16.5" thickBot="1">
      <c r="A35" s="153"/>
      <c r="B35" s="176" t="s">
        <v>93</v>
      </c>
      <c r="C35" s="177"/>
      <c r="D35" s="177"/>
      <c r="E35" s="178"/>
      <c r="F35" s="154">
        <f>SUM(F31:F34)</f>
        <v>577.78518292800004</v>
      </c>
    </row>
    <row r="36" spans="1:6" ht="32.25" thickBot="1">
      <c r="A36" s="145" t="s">
        <v>199</v>
      </c>
      <c r="B36" s="146" t="s">
        <v>14</v>
      </c>
      <c r="C36" s="145" t="s">
        <v>155</v>
      </c>
      <c r="D36" s="145" t="s">
        <v>89</v>
      </c>
      <c r="E36" s="147" t="s">
        <v>90</v>
      </c>
      <c r="F36" s="148" t="s">
        <v>91</v>
      </c>
    </row>
    <row r="37" spans="1:6" ht="30">
      <c r="A37" s="149" t="s">
        <v>194</v>
      </c>
      <c r="B37" s="150" t="s">
        <v>189</v>
      </c>
      <c r="C37" s="150" t="s">
        <v>87</v>
      </c>
      <c r="D37" s="159">
        <v>1</v>
      </c>
      <c r="E37" s="155">
        <v>23.75</v>
      </c>
      <c r="F37" s="152">
        <f t="shared" ref="F37:F43" si="6">E37*D37</f>
        <v>23.75</v>
      </c>
    </row>
    <row r="38" spans="1:6">
      <c r="A38" s="149" t="s">
        <v>149</v>
      </c>
      <c r="B38" s="150" t="s">
        <v>88</v>
      </c>
      <c r="C38" s="150" t="s">
        <v>87</v>
      </c>
      <c r="D38" s="159">
        <v>2</v>
      </c>
      <c r="E38" s="155">
        <v>17.97</v>
      </c>
      <c r="F38" s="152">
        <f t="shared" si="6"/>
        <v>35.94</v>
      </c>
    </row>
    <row r="39" spans="1:6" ht="60">
      <c r="A39" s="149" t="s">
        <v>176</v>
      </c>
      <c r="B39" s="150" t="s">
        <v>173</v>
      </c>
      <c r="C39" s="150" t="s">
        <v>98</v>
      </c>
      <c r="D39" s="149">
        <v>0.01</v>
      </c>
      <c r="E39" s="155">
        <v>432.16</v>
      </c>
      <c r="F39" s="152">
        <f t="shared" si="6"/>
        <v>4.3216000000000001</v>
      </c>
    </row>
    <row r="40" spans="1:6" ht="45">
      <c r="A40" s="149" t="s">
        <v>195</v>
      </c>
      <c r="B40" s="150" t="s">
        <v>190</v>
      </c>
      <c r="C40" s="150" t="s">
        <v>127</v>
      </c>
      <c r="D40" s="159">
        <v>1</v>
      </c>
      <c r="E40" s="155">
        <v>6.53</v>
      </c>
      <c r="F40" s="152">
        <f t="shared" si="6"/>
        <v>6.53</v>
      </c>
    </row>
    <row r="41" spans="1:6" ht="30">
      <c r="A41" s="149" t="s">
        <v>196</v>
      </c>
      <c r="B41" s="150" t="s">
        <v>191</v>
      </c>
      <c r="C41" s="150" t="s">
        <v>127</v>
      </c>
      <c r="D41" s="159">
        <v>4</v>
      </c>
      <c r="E41" s="155">
        <v>10.35</v>
      </c>
      <c r="F41" s="152">
        <f t="shared" si="6"/>
        <v>41.4</v>
      </c>
    </row>
    <row r="42" spans="1:6" ht="45">
      <c r="A42" s="149" t="s">
        <v>197</v>
      </c>
      <c r="B42" s="150" t="s">
        <v>192</v>
      </c>
      <c r="C42" s="150" t="s">
        <v>6</v>
      </c>
      <c r="D42" s="159">
        <v>1</v>
      </c>
      <c r="E42" s="155">
        <v>300</v>
      </c>
      <c r="F42" s="152">
        <f t="shared" si="6"/>
        <v>300</v>
      </c>
    </row>
    <row r="43" spans="1:6" ht="30.75" thickBot="1">
      <c r="A43" s="156" t="s">
        <v>198</v>
      </c>
      <c r="B43" s="157" t="s">
        <v>193</v>
      </c>
      <c r="C43" s="157" t="s">
        <v>85</v>
      </c>
      <c r="D43" s="156">
        <v>0.11</v>
      </c>
      <c r="E43" s="155">
        <v>21.85</v>
      </c>
      <c r="F43" s="152">
        <f t="shared" si="6"/>
        <v>2.4035000000000002</v>
      </c>
    </row>
    <row r="44" spans="1:6" ht="16.5" thickBot="1">
      <c r="A44" s="153"/>
      <c r="B44" s="176" t="s">
        <v>93</v>
      </c>
      <c r="C44" s="177"/>
      <c r="D44" s="177"/>
      <c r="E44" s="178"/>
      <c r="F44" s="154">
        <f>SUM(F37:F43)</f>
        <v>414.3451</v>
      </c>
    </row>
  </sheetData>
  <mergeCells count="8">
    <mergeCell ref="B29:E29"/>
    <mergeCell ref="B35:E35"/>
    <mergeCell ref="B44:E44"/>
    <mergeCell ref="A1:F1"/>
    <mergeCell ref="B4:E4"/>
    <mergeCell ref="B10:E10"/>
    <mergeCell ref="B18:E18"/>
    <mergeCell ref="B23:E23"/>
  </mergeCells>
  <pageMargins left="0.511811024" right="0.511811024" top="0.78740157499999996" bottom="0.78740157499999996" header="0.31496062000000002" footer="0.31496062000000002"/>
  <pageSetup paperSize="9" scale="6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pageSetUpPr fitToPage="1"/>
  </sheetPr>
  <dimension ref="B1:AG82"/>
  <sheetViews>
    <sheetView view="pageBreakPreview" topLeftCell="A7" zoomScale="115" zoomScaleNormal="100" zoomScaleSheetLayoutView="115" workbookViewId="0">
      <selection activeCell="G17" sqref="G17"/>
    </sheetView>
  </sheetViews>
  <sheetFormatPr defaultColWidth="9.140625" defaultRowHeight="12.75"/>
  <cols>
    <col min="1" max="2" width="9.140625" style="52" customWidth="1"/>
    <col min="3" max="3" width="29.140625" style="52" customWidth="1"/>
    <col min="4" max="5" width="14.5703125" style="52" customWidth="1"/>
    <col min="6" max="6" width="15.42578125" style="52" customWidth="1"/>
    <col min="7" max="7" width="12.28515625" style="52" customWidth="1"/>
    <col min="8" max="8" width="12.7109375" style="25" bestFit="1" customWidth="1"/>
    <col min="9" max="9" width="18.7109375" style="52" bestFit="1" customWidth="1"/>
    <col min="10" max="16384" width="9.140625" style="52"/>
  </cols>
  <sheetData>
    <row r="1" spans="2:23" s="24" customFormat="1" ht="15.75">
      <c r="B1" s="23" t="s">
        <v>16</v>
      </c>
      <c r="D1" s="23"/>
      <c r="E1" s="23"/>
      <c r="F1" s="23"/>
      <c r="G1" s="23"/>
      <c r="H1" s="25"/>
    </row>
    <row r="2" spans="2:23" s="27" customFormat="1" ht="46.5" customHeight="1">
      <c r="B2" s="189" t="s">
        <v>17</v>
      </c>
      <c r="C2" s="189"/>
      <c r="D2" s="189"/>
      <c r="E2" s="189"/>
      <c r="F2" s="189"/>
      <c r="G2" s="189"/>
      <c r="H2" s="26"/>
    </row>
    <row r="3" spans="2:23" s="28" customFormat="1" ht="15.75">
      <c r="C3" s="29" t="s">
        <v>18</v>
      </c>
      <c r="D3" s="190"/>
      <c r="E3" s="190"/>
      <c r="F3" s="26"/>
      <c r="G3" s="26"/>
      <c r="H3" s="30"/>
    </row>
    <row r="4" spans="2:23" s="31" customFormat="1" ht="15.75">
      <c r="C4" s="32" t="s">
        <v>19</v>
      </c>
      <c r="D4" s="190"/>
      <c r="E4" s="190"/>
      <c r="F4" s="190"/>
      <c r="G4" s="190"/>
      <c r="H4" s="33"/>
      <c r="R4" s="34" t="s">
        <v>20</v>
      </c>
    </row>
    <row r="5" spans="2:23" s="31" customFormat="1" ht="34.700000000000003" customHeight="1">
      <c r="C5" s="32" t="s">
        <v>21</v>
      </c>
      <c r="D5" s="191" t="s">
        <v>57</v>
      </c>
      <c r="E5" s="191"/>
      <c r="F5" s="191"/>
      <c r="G5" s="191"/>
      <c r="H5" s="35"/>
      <c r="R5" s="34" t="s">
        <v>23</v>
      </c>
    </row>
    <row r="6" spans="2:23" s="31" customFormat="1" ht="18.75">
      <c r="C6" s="32"/>
      <c r="D6" s="36"/>
      <c r="E6" s="36"/>
      <c r="F6" s="36"/>
      <c r="G6" s="36"/>
      <c r="H6" s="35"/>
    </row>
    <row r="7" spans="2:23" s="31" customFormat="1" ht="18.75">
      <c r="C7" s="192" t="str">
        <f>VLOOKUP(D5,AB26:AD31,3,)</f>
        <v>Para o tipo de obra “Construção de Rodovias e Ferrovias” enquadram-se: a construção e recuperação de: auto-estradas, rodovias e outras vias não-urbanas para passagem de veículos, vias férreas de superfície ou subterrâneas (inclusive para metropolitanos), pistas de aeroportos. Esta classe compreende também: a pavimentação de auto-estradas, rodovias e outras vias não-urbanas; construção de pontes, viadutos e túneis; a instalação de barreiras acústicas; a construção de praças de pedágio; a sinalização com pintura em rodovias e aeroportos; a instalação de placas de sinalização de tráfego e semelhantes, conforme classificação 4211-1 do CNAE 2.0. Também enquadram-se a construção, pavimentação e sinalização de vias urbanas, ruas e locais para estacionamento de veículos; a construção de praças, pista de atletismo, campos de futebol e calçadas para pedestres; elevados, passarelas e ciclovias; metrô e VLT.</v>
      </c>
      <c r="D7" s="192"/>
      <c r="E7" s="192"/>
      <c r="F7" s="192"/>
      <c r="G7" s="192"/>
      <c r="H7" s="35"/>
    </row>
    <row r="8" spans="2:23" s="31" customFormat="1" ht="18.75">
      <c r="C8" s="192"/>
      <c r="D8" s="192"/>
      <c r="E8" s="192"/>
      <c r="F8" s="192"/>
      <c r="G8" s="192"/>
      <c r="H8" s="35"/>
    </row>
    <row r="9" spans="2:23" s="31" customFormat="1" ht="18.75">
      <c r="C9" s="192"/>
      <c r="D9" s="192"/>
      <c r="E9" s="192"/>
      <c r="F9" s="192"/>
      <c r="G9" s="192"/>
      <c r="H9" s="35"/>
    </row>
    <row r="10" spans="2:23" s="31" customFormat="1" ht="18.75">
      <c r="C10" s="192"/>
      <c r="D10" s="192"/>
      <c r="E10" s="192"/>
      <c r="F10" s="192"/>
      <c r="G10" s="192"/>
      <c r="H10" s="35"/>
    </row>
    <row r="11" spans="2:23" s="31" customFormat="1" ht="18.75">
      <c r="C11" s="192"/>
      <c r="D11" s="192"/>
      <c r="E11" s="192"/>
      <c r="F11" s="192"/>
      <c r="G11" s="192"/>
      <c r="H11" s="35"/>
    </row>
    <row r="12" spans="2:23" s="31" customFormat="1" ht="33.75" customHeight="1">
      <c r="C12" s="192"/>
      <c r="D12" s="192"/>
      <c r="E12" s="192"/>
      <c r="F12" s="192"/>
      <c r="G12" s="192"/>
      <c r="H12" s="35"/>
    </row>
    <row r="13" spans="2:23" s="37" customFormat="1" ht="16.5" thickBot="1">
      <c r="C13" s="38"/>
      <c r="D13" s="39"/>
      <c r="E13" s="39"/>
      <c r="F13" s="39"/>
      <c r="G13" s="39"/>
      <c r="H13" s="40"/>
    </row>
    <row r="14" spans="2:23" s="37" customFormat="1" ht="10.5" customHeight="1">
      <c r="B14" s="182" t="s">
        <v>13</v>
      </c>
      <c r="C14" s="184" t="s">
        <v>24</v>
      </c>
      <c r="D14" s="186" t="s">
        <v>25</v>
      </c>
      <c r="E14" s="186"/>
      <c r="F14" s="186"/>
      <c r="G14" s="187" t="s">
        <v>26</v>
      </c>
      <c r="H14" s="194" t="s">
        <v>27</v>
      </c>
      <c r="W14" s="25" t="s">
        <v>28</v>
      </c>
    </row>
    <row r="15" spans="2:23" s="37" customFormat="1" ht="16.7" customHeight="1" thickBot="1">
      <c r="B15" s="183"/>
      <c r="C15" s="185"/>
      <c r="D15" s="41" t="s">
        <v>29</v>
      </c>
      <c r="E15" s="41" t="s">
        <v>30</v>
      </c>
      <c r="F15" s="41" t="s">
        <v>31</v>
      </c>
      <c r="G15" s="188"/>
      <c r="H15" s="194"/>
      <c r="I15" s="42"/>
      <c r="W15" s="43">
        <f>IF(D5=AB26,AC26,IF(D5=AB27,AC27,IF(D5=AB28,AC28,IF(D5=AB29,AC29,IF(D5=AB30,AC30,AC31)))))</f>
        <v>2</v>
      </c>
    </row>
    <row r="16" spans="2:23" s="37" customFormat="1" ht="15">
      <c r="B16" s="44">
        <v>1</v>
      </c>
      <c r="C16" s="45" t="s">
        <v>32</v>
      </c>
      <c r="D16" s="46">
        <f>VLOOKUP(W15,[8]TABELAS_ACORD_2622!A8:T13,6)</f>
        <v>3.8</v>
      </c>
      <c r="E16" s="46">
        <f>VLOOKUP(W15,[8]TABELAS_ACORD_2622!A8:T13,8)</f>
        <v>4.67</v>
      </c>
      <c r="F16" s="46">
        <f>VLOOKUP(W15,[8]TABELAS_ACORD_2622!A8:T13,7)</f>
        <v>4.01</v>
      </c>
      <c r="G16" s="47">
        <v>4.5199999999999996</v>
      </c>
      <c r="H16" s="25" t="str">
        <f>IF(AND(BDI_2622!G16&lt;=BDI_2622!E16,BDI_2622!G16&gt;=BDI_2622!D16),"ACEITÁVEL","INACEITÁVEL")</f>
        <v>ACEITÁVEL</v>
      </c>
    </row>
    <row r="17" spans="2:33" ht="19.5" customHeight="1">
      <c r="B17" s="48">
        <v>2</v>
      </c>
      <c r="C17" s="49" t="s">
        <v>33</v>
      </c>
      <c r="D17" s="50">
        <f>VLOOKUP(W15,[8]TABELAS_ACORD_2622!A8:T13,18)</f>
        <v>6.64</v>
      </c>
      <c r="E17" s="50">
        <f>VLOOKUP(W15,[8]TABELAS_ACORD_2622!A8:T13,20)</f>
        <v>8.69</v>
      </c>
      <c r="F17" s="50">
        <f>VLOOKUP(W15,[8]TABELAS_ACORD_2622!A8:T13,19)</f>
        <v>7.3</v>
      </c>
      <c r="G17" s="51">
        <v>6.64</v>
      </c>
      <c r="H17" s="25" t="str">
        <f>IF(AND(BDI_2622!G17&lt;=BDI_2622!E17,BDI_2622!G17&gt;=BDI_2622!D17),"ACEITÁVEL","INACEITÁVEL")</f>
        <v>ACEITÁVEL</v>
      </c>
      <c r="W17" s="53">
        <f t="shared" ref="W17:W22" si="0">G16/100</f>
        <v>4.5199999999999997E-2</v>
      </c>
      <c r="X17" s="54" t="s">
        <v>34</v>
      </c>
      <c r="Y17" s="55"/>
      <c r="Z17" s="55"/>
      <c r="AA17" s="56"/>
    </row>
    <row r="18" spans="2:33" ht="19.5" customHeight="1">
      <c r="B18" s="57">
        <v>3</v>
      </c>
      <c r="C18" s="49" t="s">
        <v>35</v>
      </c>
      <c r="D18" s="50">
        <f>VLOOKUP(W15,[8]TABELAS_ACORD_2622!A8:T13,15)</f>
        <v>1.02</v>
      </c>
      <c r="E18" s="50">
        <f>VLOOKUP(W15,[8]TABELAS_ACORD_2622!A8:T13,17)</f>
        <v>1.21</v>
      </c>
      <c r="F18" s="50">
        <f>VLOOKUP(W15,[8]TABELAS_ACORD_2622!A8:T13,16)</f>
        <v>1.1100000000000001</v>
      </c>
      <c r="G18" s="51">
        <v>1.02</v>
      </c>
      <c r="H18" s="25" t="str">
        <f>IF(AND(BDI_2622!G18&lt;=BDI_2622!E18,BDI_2622!G18&gt;=BDI_2622!D18),"ACEITÁVEL","INACEITÁVEL")</f>
        <v>ACEITÁVEL</v>
      </c>
      <c r="K18" s="58"/>
      <c r="W18" s="59">
        <f t="shared" si="0"/>
        <v>6.6400000000000001E-2</v>
      </c>
      <c r="X18" s="60" t="s">
        <v>36</v>
      </c>
      <c r="Y18" s="61"/>
      <c r="Z18" s="61"/>
      <c r="AA18" s="62"/>
    </row>
    <row r="19" spans="2:33" ht="15">
      <c r="B19" s="57">
        <v>4</v>
      </c>
      <c r="C19" s="49" t="s">
        <v>37</v>
      </c>
      <c r="D19" s="50">
        <f>VLOOKUP(W15,[8]TABELAS_ACORD_2622!A8:T13,9)</f>
        <v>0.32</v>
      </c>
      <c r="E19" s="50">
        <f>VLOOKUP(W15,[8]TABELAS_ACORD_2622!A8:T13,11)</f>
        <v>0.74</v>
      </c>
      <c r="F19" s="50">
        <f>VLOOKUP(W15,[8]TABELAS_ACORD_2622!A8:T13,10)</f>
        <v>0.4</v>
      </c>
      <c r="G19" s="51">
        <v>0.32</v>
      </c>
      <c r="H19" s="25" t="str">
        <f>IF(AND(BDI_2622!G19&lt;=BDI_2622!E19,BDI_2622!G19&gt;=BDI_2622!D19),"ACEITÁVEL","INACEITÁVEL")</f>
        <v>ACEITÁVEL</v>
      </c>
      <c r="J19" s="63"/>
      <c r="W19" s="59">
        <f t="shared" si="0"/>
        <v>1.0200000000000001E-2</v>
      </c>
    </row>
    <row r="20" spans="2:33" ht="15">
      <c r="B20" s="48">
        <v>5</v>
      </c>
      <c r="C20" s="64" t="s">
        <v>38</v>
      </c>
      <c r="D20" s="50">
        <f>VLOOKUP(W15,[8]TABELAS_ACORD_2622!A8:T13,12)</f>
        <v>0.5</v>
      </c>
      <c r="E20" s="50">
        <f>VLOOKUP(W15,[8]TABELAS_ACORD_2622!A8:T13,14)</f>
        <v>0.97</v>
      </c>
      <c r="F20" s="50">
        <f>VLOOKUP(W15,[8]TABELAS_ACORD_2622!A8:T13,13)</f>
        <v>0.56000000000000005</v>
      </c>
      <c r="G20" s="51">
        <v>0.5</v>
      </c>
      <c r="H20" s="25" t="str">
        <f>IF(AND(BDI_2622!G20&lt;=BDI_2622!E20,BDI_2622!G20&gt;=BDI_2622!D20),"ACEITÁVEL","INACEITÁVEL")</f>
        <v>ACEITÁVEL</v>
      </c>
      <c r="W20" s="59">
        <f t="shared" si="0"/>
        <v>3.2000000000000002E-3</v>
      </c>
    </row>
    <row r="21" spans="2:33" ht="15">
      <c r="B21" s="57">
        <v>6</v>
      </c>
      <c r="C21" s="49" t="s">
        <v>39</v>
      </c>
      <c r="D21" s="195"/>
      <c r="E21" s="195"/>
      <c r="F21" s="195"/>
      <c r="G21" s="65">
        <f>ROUND(SUM(G22:G24),2)</f>
        <v>8.65</v>
      </c>
      <c r="W21" s="59">
        <f t="shared" si="0"/>
        <v>5.0000000000000001E-3</v>
      </c>
      <c r="AB21" s="66" t="s">
        <v>40</v>
      </c>
      <c r="AC21" s="67"/>
      <c r="AD21" s="67"/>
      <c r="AE21" s="67"/>
      <c r="AF21" s="67"/>
      <c r="AG21" s="68"/>
    </row>
    <row r="22" spans="2:33" ht="15">
      <c r="B22" s="57" t="s">
        <v>41</v>
      </c>
      <c r="C22" s="49" t="s">
        <v>42</v>
      </c>
      <c r="D22" s="195" t="s">
        <v>43</v>
      </c>
      <c r="E22" s="195"/>
      <c r="F22" s="195"/>
      <c r="G22" s="69">
        <v>5</v>
      </c>
      <c r="W22" s="59">
        <f t="shared" si="0"/>
        <v>8.6500000000000007E-2</v>
      </c>
      <c r="AB22" s="70" t="s">
        <v>44</v>
      </c>
      <c r="AC22" s="37"/>
      <c r="AD22" s="37"/>
      <c r="AE22" s="37"/>
      <c r="AF22" s="37"/>
      <c r="AG22" s="71"/>
    </row>
    <row r="23" spans="2:33" ht="15">
      <c r="B23" s="57" t="s">
        <v>45</v>
      </c>
      <c r="C23" s="49" t="s">
        <v>46</v>
      </c>
      <c r="D23" s="195" t="s">
        <v>43</v>
      </c>
      <c r="E23" s="195"/>
      <c r="F23" s="195"/>
      <c r="G23" s="69">
        <v>0.65</v>
      </c>
      <c r="W23" s="59">
        <f>G22/100</f>
        <v>0.05</v>
      </c>
      <c r="AB23" s="70" t="s">
        <v>47</v>
      </c>
      <c r="AC23" s="37"/>
      <c r="AD23" s="37"/>
      <c r="AE23" s="37"/>
      <c r="AF23" s="37"/>
      <c r="AG23" s="71"/>
    </row>
    <row r="24" spans="2:33" ht="15" customHeight="1">
      <c r="B24" s="57" t="s">
        <v>48</v>
      </c>
      <c r="C24" s="49" t="s">
        <v>49</v>
      </c>
      <c r="D24" s="195" t="s">
        <v>43</v>
      </c>
      <c r="E24" s="195"/>
      <c r="F24" s="195"/>
      <c r="G24" s="69">
        <v>3</v>
      </c>
      <c r="W24" s="59"/>
      <c r="AB24" s="70"/>
      <c r="AC24" s="37"/>
      <c r="AD24" s="37"/>
      <c r="AE24" s="37"/>
      <c r="AF24" s="37"/>
      <c r="AG24" s="71"/>
    </row>
    <row r="25" spans="2:33" ht="15" customHeight="1">
      <c r="B25" s="57">
        <v>7</v>
      </c>
      <c r="C25" s="49" t="s">
        <v>50</v>
      </c>
      <c r="D25" s="72">
        <f>VLOOKUP(W15,[8]TABELAS_ACORD_2622!A8:T13,3)</f>
        <v>19.600000000000001</v>
      </c>
      <c r="E25" s="72">
        <f>VLOOKUP(W15,[8]TABELAS_ACORD_2622!A8:T13,5)</f>
        <v>24.23</v>
      </c>
      <c r="F25" s="72">
        <f>VLOOKUP(W15,[8]TABELAS_ACORD_2622!A8:T13,4)</f>
        <v>20.97</v>
      </c>
      <c r="G25" s="73">
        <f>ROUND(((((1+W17+W20+W21)*(1+W19)*(1+W18))/(1-W22))-1)*100,2)</f>
        <v>24.23</v>
      </c>
      <c r="H25" s="25" t="str">
        <f>IF(AND(BDI_2622!G25&lt;=BDI_2622!E25,BDI_2622!G25&gt;=BDI_2622!D25),"ACEITÁVEL","INACEITÁVEL")</f>
        <v>ACEITÁVEL</v>
      </c>
      <c r="I25" s="58"/>
      <c r="N25" s="58"/>
      <c r="W25" s="59">
        <f>G23/100</f>
        <v>6.5000000000000006E-3</v>
      </c>
      <c r="AB25" s="70" t="s">
        <v>51</v>
      </c>
      <c r="AC25" s="37"/>
      <c r="AD25" s="37"/>
      <c r="AE25" s="37"/>
      <c r="AF25" s="37"/>
      <c r="AG25" s="74"/>
    </row>
    <row r="26" spans="2:33" ht="15" customHeight="1">
      <c r="B26" s="57" t="s">
        <v>52</v>
      </c>
      <c r="C26" s="49" t="s">
        <v>53</v>
      </c>
      <c r="D26" s="196" t="s">
        <v>34</v>
      </c>
      <c r="E26" s="197"/>
      <c r="F26" s="198"/>
      <c r="G26" s="73">
        <f>IF(D26=X17,0,4.5)</f>
        <v>0</v>
      </c>
      <c r="M26" s="58"/>
      <c r="N26" s="58"/>
      <c r="W26" s="59">
        <f>G26/100</f>
        <v>0</v>
      </c>
      <c r="AB26" s="75" t="s">
        <v>22</v>
      </c>
      <c r="AC26" s="76">
        <v>1</v>
      </c>
      <c r="AD26" s="77" t="s">
        <v>54</v>
      </c>
      <c r="AE26" s="67"/>
      <c r="AF26" s="68"/>
      <c r="AG26" s="37"/>
    </row>
    <row r="27" spans="2:33" ht="15" thickBot="1">
      <c r="B27" s="78" t="s">
        <v>55</v>
      </c>
      <c r="C27" s="79" t="s">
        <v>56</v>
      </c>
      <c r="D27" s="80"/>
      <c r="E27" s="81"/>
      <c r="F27" s="82"/>
      <c r="G27" s="83">
        <f>ROUND(((((1+W17+W20+W21)*(1+W19)*(1+W18))/(1-(W22+W26)))-1)*100,2)</f>
        <v>24.23</v>
      </c>
      <c r="H27" s="84"/>
      <c r="W27" s="85">
        <f>G25/100</f>
        <v>0.24230000000000002</v>
      </c>
      <c r="AB27" s="86" t="s">
        <v>57</v>
      </c>
      <c r="AC27" s="76">
        <v>2</v>
      </c>
      <c r="AD27" s="87" t="s">
        <v>58</v>
      </c>
      <c r="AE27" s="37"/>
      <c r="AF27" s="71"/>
      <c r="AG27" s="37"/>
    </row>
    <row r="28" spans="2:33">
      <c r="N28" s="58"/>
      <c r="AB28" s="86" t="s">
        <v>59</v>
      </c>
      <c r="AC28" s="76">
        <v>3</v>
      </c>
      <c r="AD28" s="87" t="s">
        <v>60</v>
      </c>
      <c r="AF28" s="88"/>
    </row>
    <row r="29" spans="2:33" ht="33" customHeight="1">
      <c r="C29" s="199" t="s">
        <v>61</v>
      </c>
      <c r="D29" s="199"/>
      <c r="E29" s="199"/>
      <c r="F29" s="199"/>
      <c r="G29" s="199"/>
      <c r="AB29" s="86" t="s">
        <v>62</v>
      </c>
      <c r="AC29" s="76">
        <v>4</v>
      </c>
      <c r="AD29" s="87" t="s">
        <v>63</v>
      </c>
      <c r="AF29" s="88"/>
    </row>
    <row r="30" spans="2:33">
      <c r="I30" s="89"/>
      <c r="J30" s="89"/>
      <c r="AB30" s="86" t="s">
        <v>64</v>
      </c>
      <c r="AC30" s="76">
        <v>5</v>
      </c>
      <c r="AD30" s="87" t="s">
        <v>65</v>
      </c>
      <c r="AF30" s="88"/>
    </row>
    <row r="31" spans="2:33">
      <c r="I31" s="90"/>
      <c r="AB31" s="91" t="s">
        <v>66</v>
      </c>
      <c r="AC31" s="76">
        <v>6</v>
      </c>
      <c r="AD31" s="92" t="s">
        <v>67</v>
      </c>
      <c r="AE31" s="61"/>
      <c r="AF31" s="62"/>
    </row>
    <row r="32" spans="2:33" ht="9.1999999999999993" customHeight="1">
      <c r="C32" s="93"/>
      <c r="D32" s="94"/>
      <c r="E32" s="94"/>
      <c r="F32" s="94"/>
      <c r="G32" s="94"/>
    </row>
    <row r="33" spans="2:17">
      <c r="B33" s="24"/>
      <c r="I33" s="24"/>
    </row>
    <row r="34" spans="2:17" s="24" customFormat="1" ht="15.75">
      <c r="C34" s="95" t="s">
        <v>68</v>
      </c>
      <c r="D34" s="42"/>
      <c r="E34" s="42"/>
      <c r="F34" s="42"/>
      <c r="G34" s="52"/>
      <c r="H34" s="25"/>
      <c r="I34" s="52"/>
      <c r="L34" s="52"/>
      <c r="M34" s="52"/>
      <c r="N34" s="52"/>
      <c r="O34" s="52"/>
      <c r="P34" s="52"/>
      <c r="Q34" s="52"/>
    </row>
    <row r="35" spans="2:17" s="24" customFormat="1" ht="15.75">
      <c r="B35" s="37"/>
      <c r="C35" s="193" t="s">
        <v>69</v>
      </c>
      <c r="D35" s="193"/>
      <c r="E35" s="193"/>
      <c r="F35" s="193"/>
      <c r="G35" s="52"/>
      <c r="H35" s="25"/>
      <c r="I35" s="52"/>
      <c r="L35" s="52"/>
      <c r="M35" s="52"/>
      <c r="N35" s="52"/>
      <c r="O35" s="52"/>
      <c r="P35" s="52"/>
      <c r="Q35" s="52"/>
    </row>
    <row r="36" spans="2:17" s="37" customFormat="1" ht="15.75">
      <c r="C36" s="96" t="s">
        <v>70</v>
      </c>
      <c r="D36" s="96"/>
      <c r="E36" s="96"/>
      <c r="F36" s="96"/>
      <c r="G36" s="52"/>
      <c r="H36" s="25"/>
      <c r="I36" s="52"/>
      <c r="L36" s="52"/>
      <c r="M36" s="52"/>
      <c r="N36" s="52"/>
      <c r="O36" s="52"/>
      <c r="P36" s="52"/>
      <c r="Q36" s="52"/>
    </row>
    <row r="37" spans="2:17" s="37" customFormat="1" ht="15.75">
      <c r="B37" s="52"/>
      <c r="C37" s="193" t="s">
        <v>71</v>
      </c>
      <c r="D37" s="193"/>
      <c r="E37" s="193"/>
      <c r="F37" s="193"/>
      <c r="G37" s="52"/>
      <c r="H37" s="25"/>
      <c r="I37" s="52"/>
      <c r="L37" s="52"/>
      <c r="M37" s="52"/>
      <c r="N37" s="52"/>
      <c r="O37" s="52"/>
      <c r="P37" s="52"/>
      <c r="Q37" s="52"/>
    </row>
    <row r="38" spans="2:17" ht="15.75">
      <c r="C38" s="96" t="s">
        <v>72</v>
      </c>
      <c r="D38" s="96"/>
      <c r="E38" s="96"/>
      <c r="F38" s="96"/>
      <c r="L38" s="37"/>
      <c r="M38" s="37"/>
      <c r="N38" s="37"/>
      <c r="O38" s="37"/>
      <c r="P38" s="37"/>
      <c r="Q38" s="37"/>
    </row>
    <row r="39" spans="2:17" ht="15.75">
      <c r="C39" s="193" t="s">
        <v>73</v>
      </c>
      <c r="D39" s="193"/>
      <c r="E39" s="193"/>
      <c r="F39" s="193"/>
    </row>
    <row r="40" spans="2:17" ht="15.75">
      <c r="C40" s="193" t="s">
        <v>74</v>
      </c>
      <c r="D40" s="193"/>
      <c r="E40" s="193"/>
      <c r="F40" s="193"/>
    </row>
    <row r="41" spans="2:17" ht="15.75">
      <c r="C41" s="193" t="s">
        <v>75</v>
      </c>
      <c r="D41" s="193"/>
      <c r="E41" s="193"/>
      <c r="F41" s="193"/>
    </row>
    <row r="42" spans="2:17" ht="15">
      <c r="C42" s="97"/>
      <c r="D42" s="97"/>
      <c r="E42" s="97"/>
      <c r="F42" s="97"/>
    </row>
    <row r="43" spans="2:17" ht="15">
      <c r="D43" s="98"/>
      <c r="E43" s="99"/>
      <c r="F43" s="97"/>
    </row>
    <row r="44" spans="2:17" ht="15">
      <c r="C44" s="97"/>
      <c r="D44" s="97"/>
      <c r="E44" s="97"/>
      <c r="F44" s="97"/>
    </row>
    <row r="45" spans="2:17" ht="15">
      <c r="D45" s="100"/>
      <c r="E45" s="100"/>
      <c r="F45" s="97"/>
    </row>
    <row r="46" spans="2:17" ht="15">
      <c r="C46" s="101"/>
      <c r="D46" s="97"/>
      <c r="E46" s="97"/>
      <c r="F46" s="97"/>
    </row>
    <row r="47" spans="2:17" ht="15">
      <c r="C47" s="101"/>
      <c r="D47" s="97"/>
      <c r="E47" s="97"/>
      <c r="F47" s="97"/>
    </row>
    <row r="48" spans="2:17" ht="15">
      <c r="C48" s="97"/>
      <c r="D48" s="97"/>
      <c r="E48" s="97"/>
      <c r="F48" s="97"/>
    </row>
    <row r="50" spans="2:17">
      <c r="C50" s="200"/>
      <c r="D50" s="200"/>
      <c r="E50" s="200"/>
      <c r="F50" s="200"/>
      <c r="G50" s="200"/>
    </row>
    <row r="51" spans="2:17">
      <c r="B51" s="37"/>
      <c r="C51" s="200"/>
      <c r="D51" s="200"/>
      <c r="E51" s="200"/>
      <c r="F51" s="200"/>
      <c r="G51" s="200"/>
      <c r="H51" s="102"/>
      <c r="I51" s="37"/>
    </row>
    <row r="52" spans="2:17" s="37" customFormat="1">
      <c r="B52" s="52"/>
      <c r="C52" s="200"/>
      <c r="D52" s="200"/>
      <c r="E52" s="200"/>
      <c r="F52" s="200"/>
      <c r="G52" s="200"/>
      <c r="H52" s="25"/>
      <c r="I52" s="52"/>
      <c r="L52" s="52"/>
      <c r="M52" s="52"/>
      <c r="N52" s="52"/>
      <c r="O52" s="52"/>
      <c r="P52" s="52"/>
      <c r="Q52" s="52"/>
    </row>
    <row r="53" spans="2:17">
      <c r="C53" s="24"/>
      <c r="D53" s="24"/>
      <c r="E53" s="24"/>
      <c r="F53" s="24"/>
      <c r="G53" s="24"/>
      <c r="L53" s="37"/>
      <c r="M53" s="37"/>
      <c r="N53" s="37"/>
      <c r="O53" s="37"/>
      <c r="P53" s="37"/>
      <c r="Q53" s="37"/>
    </row>
    <row r="54" spans="2:17" ht="15.75">
      <c r="C54" s="103"/>
    </row>
    <row r="55" spans="2:17">
      <c r="C55" s="37"/>
      <c r="D55" s="37"/>
      <c r="E55" s="37"/>
      <c r="F55" s="37"/>
      <c r="G55" s="37"/>
    </row>
    <row r="56" spans="2:17" ht="15.75">
      <c r="C56" s="201"/>
      <c r="D56" s="201"/>
      <c r="E56" s="201"/>
      <c r="F56" s="201"/>
    </row>
    <row r="57" spans="2:17" ht="15.75">
      <c r="C57" s="201"/>
      <c r="D57" s="202"/>
      <c r="E57" s="202"/>
      <c r="F57" s="202"/>
    </row>
    <row r="58" spans="2:17" ht="15.75">
      <c r="C58" s="201"/>
      <c r="D58" s="104"/>
      <c r="E58" s="104"/>
      <c r="F58" s="104"/>
    </row>
    <row r="59" spans="2:17" ht="15.75">
      <c r="C59" s="39"/>
      <c r="D59" s="105"/>
      <c r="E59" s="105"/>
      <c r="F59" s="105"/>
    </row>
    <row r="60" spans="2:17" ht="15.75">
      <c r="C60" s="39"/>
      <c r="D60" s="105"/>
      <c r="E60" s="105"/>
      <c r="F60" s="105"/>
    </row>
    <row r="61" spans="2:17" ht="15.75">
      <c r="C61" s="39"/>
      <c r="D61" s="105"/>
      <c r="E61" s="105"/>
      <c r="F61" s="105"/>
    </row>
    <row r="62" spans="2:17" ht="15.75">
      <c r="C62" s="39"/>
      <c r="D62" s="105"/>
      <c r="E62" s="105"/>
      <c r="F62" s="105"/>
    </row>
    <row r="63" spans="2:17" ht="15.75">
      <c r="C63" s="39"/>
      <c r="D63" s="105"/>
      <c r="E63" s="105"/>
      <c r="F63" s="105"/>
    </row>
    <row r="64" spans="2:17" ht="15.75">
      <c r="C64" s="106"/>
      <c r="D64" s="107"/>
      <c r="E64" s="107"/>
      <c r="F64" s="107"/>
    </row>
    <row r="65" spans="3:7" ht="15.75">
      <c r="C65" s="39"/>
      <c r="D65" s="105"/>
      <c r="E65" s="105"/>
      <c r="F65" s="105"/>
    </row>
    <row r="66" spans="3:7" ht="15.75">
      <c r="C66" s="39"/>
      <c r="D66" s="105"/>
      <c r="E66" s="105"/>
      <c r="F66" s="105"/>
    </row>
    <row r="67" spans="3:7" ht="15.75">
      <c r="C67" s="39"/>
      <c r="D67" s="105"/>
      <c r="E67" s="105"/>
      <c r="F67" s="105"/>
    </row>
    <row r="68" spans="3:7" ht="15.75">
      <c r="C68" s="106"/>
      <c r="D68" s="107"/>
      <c r="E68" s="107"/>
      <c r="F68" s="107"/>
    </row>
    <row r="69" spans="3:7">
      <c r="C69" s="37"/>
      <c r="D69" s="37"/>
      <c r="E69" s="37"/>
      <c r="F69" s="37"/>
      <c r="G69" s="37"/>
    </row>
    <row r="70" spans="3:7" ht="15.75">
      <c r="C70" s="204"/>
      <c r="D70" s="204"/>
      <c r="E70" s="204"/>
      <c r="F70" s="204"/>
    </row>
    <row r="75" spans="3:7" ht="15">
      <c r="C75" s="108"/>
    </row>
    <row r="76" spans="3:7" ht="15">
      <c r="C76" s="203"/>
      <c r="D76" s="203"/>
      <c r="E76" s="203"/>
      <c r="F76" s="203"/>
    </row>
    <row r="77" spans="3:7" ht="15">
      <c r="C77" s="203"/>
      <c r="D77" s="203"/>
      <c r="E77" s="203"/>
      <c r="F77" s="203"/>
    </row>
    <row r="78" spans="3:7" ht="15">
      <c r="C78" s="203"/>
      <c r="D78" s="203"/>
      <c r="E78" s="203"/>
      <c r="F78" s="203"/>
    </row>
    <row r="79" spans="3:7" ht="15">
      <c r="C79" s="203"/>
      <c r="D79" s="203"/>
      <c r="E79" s="203"/>
      <c r="F79" s="203"/>
    </row>
    <row r="80" spans="3:7" ht="15">
      <c r="C80" s="203"/>
      <c r="D80" s="203"/>
      <c r="E80" s="203"/>
      <c r="F80" s="203"/>
    </row>
    <row r="81" spans="3:6" ht="15">
      <c r="C81" s="203"/>
      <c r="D81" s="203"/>
      <c r="E81" s="203"/>
      <c r="F81" s="203"/>
    </row>
    <row r="82" spans="3:6" ht="15">
      <c r="C82" s="203"/>
      <c r="D82" s="203"/>
      <c r="E82" s="203"/>
      <c r="F82" s="203"/>
    </row>
  </sheetData>
  <sheetProtection password="CEE3" sheet="1" objects="1" scenarios="1" selectLockedCells="1"/>
  <mergeCells count="35">
    <mergeCell ref="C81:F81"/>
    <mergeCell ref="C82:F82"/>
    <mergeCell ref="C70:F70"/>
    <mergeCell ref="C76:F76"/>
    <mergeCell ref="C77:F77"/>
    <mergeCell ref="C78:F78"/>
    <mergeCell ref="C79:F79"/>
    <mergeCell ref="C80:F80"/>
    <mergeCell ref="C50:G50"/>
    <mergeCell ref="C51:G51"/>
    <mergeCell ref="C52:G52"/>
    <mergeCell ref="C56:F56"/>
    <mergeCell ref="C57:C58"/>
    <mergeCell ref="D57:F57"/>
    <mergeCell ref="C41:F41"/>
    <mergeCell ref="H14:H15"/>
    <mergeCell ref="D21:F21"/>
    <mergeCell ref="D22:F22"/>
    <mergeCell ref="D23:F23"/>
    <mergeCell ref="D24:F24"/>
    <mergeCell ref="D26:F26"/>
    <mergeCell ref="C29:G29"/>
    <mergeCell ref="C35:F35"/>
    <mergeCell ref="C37:F37"/>
    <mergeCell ref="C39:F39"/>
    <mergeCell ref="C40:F40"/>
    <mergeCell ref="B14:B15"/>
    <mergeCell ref="C14:C15"/>
    <mergeCell ref="D14:F14"/>
    <mergeCell ref="G14:G15"/>
    <mergeCell ref="B2:G2"/>
    <mergeCell ref="D3:E3"/>
    <mergeCell ref="D4:G4"/>
    <mergeCell ref="D5:G5"/>
    <mergeCell ref="C7:G12"/>
  </mergeCells>
  <conditionalFormatting sqref="H27 H16:H25">
    <cfRule type="cellIs" dxfId="3" priority="1" stopIfTrue="1" operator="equal">
      <formula>"ACEITÁVEL"</formula>
    </cfRule>
    <cfRule type="cellIs" dxfId="2" priority="2" stopIfTrue="1" operator="equal">
      <formula>"INACEITÁVEL"</formula>
    </cfRule>
  </conditionalFormatting>
  <conditionalFormatting sqref="H5:H12">
    <cfRule type="expression" dxfId="1" priority="3" stopIfTrue="1">
      <formula>AND($D$5="Fornecimento de Equipamento e Materiais",#REF!&lt;&gt;"Fornecimento de Equipamento e Materiais")</formula>
    </cfRule>
  </conditionalFormatting>
  <conditionalFormatting sqref="D5:D6">
    <cfRule type="expression" dxfId="0" priority="4" stopIfTrue="1">
      <formula>"FORNECIMENTO DE MATERIAIS E EQUIPAMENTOS"</formula>
    </cfRule>
  </conditionalFormatting>
  <dataValidations count="2">
    <dataValidation type="list" allowBlank="1" showInputMessage="1" showErrorMessage="1" sqref="D26:F26" xr:uid="{00000000-0002-0000-0300-000000000000}">
      <formula1>$X$17:$X$18</formula1>
    </dataValidation>
    <dataValidation type="list" allowBlank="1" showInputMessage="1" showErrorMessage="1" sqref="D5" xr:uid="{00000000-0002-0000-0300-000001000000}">
      <formula1>$AB$26:$AB$31</formula1>
    </dataValidation>
  </dataValidations>
  <printOptions horizontalCentered="1"/>
  <pageMargins left="0.56000000000000005" right="0.39370078740157483" top="1.33" bottom="0.66" header="0.39370078740157483" footer="0.51181102362204722"/>
  <pageSetup paperSize="9" scale="91"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Planilha Orçamentária</vt:lpstr>
      <vt:lpstr>CPS</vt:lpstr>
      <vt:lpstr>BDI_2622</vt:lpstr>
      <vt:lpstr>BDI_2622!Area_de_impressao</vt:lpstr>
      <vt:lpstr>CPS!Area_de_impressao</vt:lpstr>
      <vt:lpstr>'Planilha Orçamentária'!Area_de_impressao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Myller</dc:creator>
  <cp:lastModifiedBy>Myller</cp:lastModifiedBy>
  <cp:lastPrinted>2018-11-01T19:38:06Z</cp:lastPrinted>
  <dcterms:created xsi:type="dcterms:W3CDTF">2017-10-09T19:33:15Z</dcterms:created>
  <dcterms:modified xsi:type="dcterms:W3CDTF">2023-04-14T21:28:34Z</dcterms:modified>
</cp:coreProperties>
</file>